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ksucvm-my.sharepoint.com/personal/cricket1_vet_k-state_edu/Documents/CORE/Content for communication, media, etc/Resources/"/>
    </mc:Choice>
  </mc:AlternateContent>
  <xr:revisionPtr revIDLastSave="59" documentId="8_{1DECF7E2-5B01-427B-92CC-5C718606A168}" xr6:coauthVersionLast="47" xr6:coauthVersionMax="47" xr10:uidLastSave="{4069E409-898F-4743-8ECE-4B5740A6E874}"/>
  <bookViews>
    <workbookView xWindow="28680" yWindow="-180" windowWidth="29040" windowHeight="15720" xr2:uid="{65F580D3-AEED-4D84-BF85-3A44783EA3BE}"/>
  </bookViews>
  <sheets>
    <sheet name="Intro" sheetId="11" r:id="rId1"/>
    <sheet name="Guidelines" sheetId="12" r:id="rId2"/>
    <sheet name="Producer Inputs and Outputs" sheetId="10" r:id="rId3"/>
    <sheet name="User Outputs" sheetId="9" state="hidden" r:id="rId4"/>
    <sheet name="GWP Inputs" sheetId="7" state="hidden" r:id="rId5"/>
    <sheet name="Grazing Production" sheetId="1" state="hidden" r:id="rId6"/>
    <sheet name="Pature Enteric Methane" sheetId="3" state="hidden" r:id="rId7"/>
    <sheet name="Pasture Manure Emissions" sheetId="5" state="hidden" r:id="rId8"/>
    <sheet name="Forage Library" sheetId="1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2" i="1" l="1"/>
  <c r="B42" i="1"/>
  <c r="R94" i="14"/>
  <c r="R95" i="14"/>
  <c r="R96" i="14"/>
  <c r="R97" i="14"/>
  <c r="R62" i="14"/>
  <c r="R63" i="14"/>
  <c r="R64" i="14"/>
  <c r="R65" i="14"/>
  <c r="R66" i="14"/>
  <c r="R67" i="14"/>
  <c r="R68" i="14"/>
  <c r="R69" i="14"/>
  <c r="R70" i="14"/>
  <c r="R71" i="14"/>
  <c r="R72" i="14"/>
  <c r="R73" i="14"/>
  <c r="R74" i="14"/>
  <c r="R75" i="14"/>
  <c r="R76" i="14"/>
  <c r="R77" i="14"/>
  <c r="R78" i="14"/>
  <c r="R79" i="14"/>
  <c r="R80" i="14"/>
  <c r="R81" i="14"/>
  <c r="R82" i="14"/>
  <c r="R83" i="14"/>
  <c r="R84" i="14"/>
  <c r="R85" i="14"/>
  <c r="R86" i="14"/>
  <c r="R87" i="14"/>
  <c r="R88" i="14"/>
  <c r="R89" i="14"/>
  <c r="R52" i="14"/>
  <c r="R53" i="14"/>
  <c r="R54" i="14"/>
  <c r="R55" i="14"/>
  <c r="R28" i="14"/>
  <c r="R29" i="14"/>
  <c r="R30" i="14"/>
  <c r="R31" i="14"/>
  <c r="R32" i="14"/>
  <c r="R33" i="14"/>
  <c r="R34" i="14"/>
  <c r="R35" i="14"/>
  <c r="R36" i="14"/>
  <c r="R37" i="14"/>
  <c r="R38" i="14"/>
  <c r="R39" i="14"/>
  <c r="R40" i="14"/>
  <c r="R41" i="14"/>
  <c r="R42" i="14"/>
  <c r="R43" i="14"/>
  <c r="R44" i="14"/>
  <c r="R45" i="14"/>
  <c r="R46" i="14"/>
  <c r="R47" i="14"/>
  <c r="R48" i="14"/>
  <c r="R49" i="14"/>
  <c r="R50" i="14"/>
  <c r="R4" i="14"/>
  <c r="R5" i="14"/>
  <c r="R6" i="14"/>
  <c r="R7" i="14"/>
  <c r="R8" i="14"/>
  <c r="R9" i="14"/>
  <c r="R10" i="14"/>
  <c r="R11" i="14"/>
  <c r="R12" i="14"/>
  <c r="R13" i="14"/>
  <c r="R14" i="14"/>
  <c r="R15" i="14"/>
  <c r="R16" i="14"/>
  <c r="R17" i="14"/>
  <c r="R18" i="14"/>
  <c r="R19" i="14"/>
  <c r="R20" i="14"/>
  <c r="R21" i="14"/>
  <c r="R22" i="14"/>
  <c r="R23" i="14"/>
  <c r="R24" i="14"/>
  <c r="R25" i="14"/>
  <c r="R3" i="14"/>
  <c r="C39" i="1" l="1"/>
  <c r="B39" i="1"/>
  <c r="B26" i="1"/>
  <c r="B23" i="1"/>
  <c r="B31" i="1" l="1"/>
  <c r="K22" i="14"/>
  <c r="M22" i="14"/>
  <c r="W40" i="14"/>
  <c r="W41" i="14"/>
  <c r="W37" i="14"/>
  <c r="X37" i="14" s="1"/>
  <c r="W38" i="14"/>
  <c r="X40" i="14" l="1"/>
  <c r="B40" i="1"/>
  <c r="B38" i="1"/>
  <c r="B37" i="1"/>
  <c r="B36" i="1"/>
  <c r="B35" i="1"/>
  <c r="C40" i="1"/>
  <c r="H2" i="3"/>
  <c r="I2" i="3" l="1"/>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3" i="14"/>
  <c r="C38" i="1" l="1"/>
  <c r="C37" i="1"/>
  <c r="C36" i="1"/>
  <c r="C35" i="1"/>
  <c r="B13" i="1"/>
  <c r="B14" i="1"/>
  <c r="B8" i="1"/>
  <c r="B6" i="1"/>
  <c r="B4" i="1"/>
  <c r="H7" i="10" s="1"/>
  <c r="B2" i="1"/>
  <c r="B3" i="1" s="1"/>
  <c r="B9" i="9" l="1"/>
  <c r="B7" i="9"/>
  <c r="B5" i="1" l="1"/>
  <c r="I3" i="1" l="1"/>
  <c r="I6" i="1" s="1"/>
  <c r="B15" i="1"/>
  <c r="B20" i="1" s="1"/>
  <c r="D89" i="5"/>
  <c r="C30" i="3"/>
  <c r="J2" i="1"/>
  <c r="B10" i="1"/>
  <c r="B25" i="1"/>
  <c r="B9" i="1"/>
  <c r="B7" i="1"/>
  <c r="C41" i="1" l="1"/>
  <c r="B18" i="1"/>
  <c r="B41" i="1" s="1"/>
  <c r="B12" i="1"/>
  <c r="C21" i="3"/>
  <c r="C23" i="3" s="1"/>
  <c r="C29" i="3"/>
  <c r="B11" i="1"/>
  <c r="B11" i="9" s="1"/>
  <c r="B27" i="1" l="1"/>
  <c r="C31" i="3"/>
  <c r="D55" i="5" s="1"/>
  <c r="B21" i="1"/>
  <c r="B28" i="1" l="1"/>
  <c r="B29" i="1" s="1"/>
  <c r="B30" i="1" s="1"/>
  <c r="B22" i="1"/>
  <c r="E40" i="1"/>
  <c r="L2" i="3" s="1"/>
  <c r="M2" i="3" s="1"/>
  <c r="I6" i="3" s="1"/>
  <c r="E42" i="1"/>
  <c r="E43" i="1" s="1"/>
  <c r="D35" i="3" s="1"/>
  <c r="E35" i="1"/>
  <c r="D60" i="5" s="1"/>
  <c r="E39" i="1"/>
  <c r="C27" i="3" s="1"/>
  <c r="C32" i="3"/>
  <c r="C34" i="3" l="1"/>
  <c r="D21" i="5"/>
  <c r="C28" i="3"/>
  <c r="D61" i="5"/>
  <c r="D22" i="5"/>
  <c r="D36" i="3"/>
  <c r="D38" i="3" s="1"/>
  <c r="D39" i="3" s="1"/>
  <c r="H3" i="10" s="1"/>
  <c r="D56" i="5"/>
  <c r="D57" i="5" s="1"/>
  <c r="D58" i="5" s="1"/>
  <c r="C35" i="3" l="1"/>
  <c r="C36" i="3" s="1"/>
  <c r="C38" i="3" s="1"/>
  <c r="C39" i="3" s="1"/>
  <c r="D62" i="5"/>
  <c r="D25" i="5"/>
  <c r="D26" i="5" l="1"/>
  <c r="D27" i="5" s="1"/>
  <c r="D28" i="5" s="1"/>
  <c r="D29" i="5" s="1"/>
  <c r="D30" i="5" s="1"/>
  <c r="D63" i="5"/>
  <c r="D64" i="5" s="1"/>
  <c r="D66" i="5" s="1"/>
  <c r="C40" i="3"/>
  <c r="B3" i="9"/>
  <c r="D68" i="5" l="1"/>
  <c r="D69" i="5" s="1"/>
  <c r="D70" i="5" s="1"/>
  <c r="D71" i="5" s="1"/>
  <c r="C99" i="5" s="1"/>
  <c r="D87" i="5"/>
  <c r="D91" i="5" s="1"/>
  <c r="D83" i="5"/>
  <c r="D86" i="5" s="1"/>
  <c r="C98" i="5"/>
  <c r="D98" i="5"/>
  <c r="D92" i="5" l="1"/>
  <c r="D93" i="5" s="1"/>
  <c r="D94" i="5" s="1"/>
  <c r="D95" i="5" s="1"/>
  <c r="D100" i="5" s="1"/>
  <c r="D72" i="5"/>
  <c r="D99" i="5" s="1"/>
  <c r="D101" i="5" l="1"/>
  <c r="C100" i="5"/>
  <c r="C101" i="5" s="1"/>
  <c r="B4" i="9" l="1"/>
  <c r="B5" i="9" s="1"/>
  <c r="B6" i="9" s="1"/>
  <c r="B12" i="9" s="1"/>
  <c r="H9" i="10" s="1"/>
  <c r="H4" i="10"/>
  <c r="H5" i="10" s="1"/>
  <c r="H8" i="10" s="1"/>
  <c r="B8" i="9" l="1"/>
  <c r="H6" i="10"/>
  <c r="B10" i="9"/>
</calcChain>
</file>

<file path=xl/sharedStrings.xml><?xml version="1.0" encoding="utf-8"?>
<sst xmlns="http://schemas.openxmlformats.org/spreadsheetml/2006/main" count="547" uniqueCount="443">
  <si>
    <t>Days Graze</t>
  </si>
  <si>
    <t>Beginning avg LW lbs</t>
  </si>
  <si>
    <t>Beginning avg LW kgs</t>
  </si>
  <si>
    <t>Ending avg LW lbs</t>
  </si>
  <si>
    <t>Ending avg LW kgs</t>
  </si>
  <si>
    <t>ADG</t>
  </si>
  <si>
    <t>DMI, kgs DM</t>
  </si>
  <si>
    <t>kg feed/kg gain</t>
  </si>
  <si>
    <t>kgs/ton</t>
  </si>
  <si>
    <t>forage utilization rate</t>
  </si>
  <si>
    <t>consumption/steer</t>
  </si>
  <si>
    <t>% of acre</t>
  </si>
  <si>
    <t>Days Supplemented</t>
  </si>
  <si>
    <t>Added LWG lbs</t>
  </si>
  <si>
    <t>Added LWG kg</t>
  </si>
  <si>
    <t>Nem pasture (Mcal/kg)</t>
  </si>
  <si>
    <t>% of ration, pasture</t>
  </si>
  <si>
    <t>% of ration, supplement</t>
  </si>
  <si>
    <t>kgs BW/acre feed</t>
  </si>
  <si>
    <t>kgs BW/ha feed</t>
  </si>
  <si>
    <t>Forage yield DM (kgs/acre)</t>
  </si>
  <si>
    <t>Pasture yield DM (tons/acre)</t>
  </si>
  <si>
    <t>IPCC Tier II Method</t>
  </si>
  <si>
    <t>variable</t>
  </si>
  <si>
    <t>meaning</t>
  </si>
  <si>
    <t>unit</t>
  </si>
  <si>
    <t>equation</t>
  </si>
  <si>
    <t>notes</t>
  </si>
  <si>
    <t>EF</t>
  </si>
  <si>
    <t>emissions factor</t>
  </si>
  <si>
    <t>kg CH4/head/yr</t>
  </si>
  <si>
    <t>(GE*(Ym/100)*365)/55.65</t>
  </si>
  <si>
    <t>GE</t>
  </si>
  <si>
    <t>gross energy</t>
  </si>
  <si>
    <t>MJ/day</t>
  </si>
  <si>
    <t>[((NEm + NEa + NEl + NEwork + NEp)/REM)+((NEg + NEwool)/REG)] / (DE%/100)</t>
  </si>
  <si>
    <t>NEm</t>
  </si>
  <si>
    <t>net energy for maintenance</t>
  </si>
  <si>
    <t>Cfi*(weight)^0.75</t>
  </si>
  <si>
    <t>NEa</t>
  </si>
  <si>
    <t>net energy for activity (for cattle)</t>
  </si>
  <si>
    <t>Ca*NEm</t>
  </si>
  <si>
    <t>NEl</t>
  </si>
  <si>
    <t>net energy for lactation (cattle)</t>
  </si>
  <si>
    <t>Milk * (1.47 + 0.4 * Fat)</t>
  </si>
  <si>
    <t>NEwork</t>
  </si>
  <si>
    <t>net energy for work (cattle)</t>
  </si>
  <si>
    <t>0.10 * NEm * hours</t>
  </si>
  <si>
    <t>NEpregnancy</t>
  </si>
  <si>
    <t>net energy for pregnancy</t>
  </si>
  <si>
    <t>Cpreg x NEm</t>
  </si>
  <si>
    <t>REM</t>
  </si>
  <si>
    <t>ratio of net energy available in diet for maintenance to digestible energy consumed</t>
  </si>
  <si>
    <t>N/A</t>
  </si>
  <si>
    <t xml:space="preserve"> [1.123-(4.092 x 10^-3 x DE%)+[1.126 x 10^-5 x DE%^2] - (25.4/DE%)]</t>
  </si>
  <si>
    <t>NEg</t>
  </si>
  <si>
    <t>net energy for growth (cattle)</t>
  </si>
  <si>
    <t>22.02 x (BW/C x MW)^0.75 x WG^1.097</t>
  </si>
  <si>
    <t>NEwool</t>
  </si>
  <si>
    <t>net enegy for wool</t>
  </si>
  <si>
    <t>REG</t>
  </si>
  <si>
    <t>ratio of net energy available in diet for growth to digestible energy consumed</t>
  </si>
  <si>
    <t>1.164-(5.160*10^-3*DE%)+(1.308*10^-5*DE%^2)-(37.4/DE%)</t>
  </si>
  <si>
    <t>Modelled IPCC enteric methane emissions</t>
  </si>
  <si>
    <t>Calculations</t>
  </si>
  <si>
    <t>CFi</t>
  </si>
  <si>
    <t>Ca</t>
  </si>
  <si>
    <t>DE</t>
  </si>
  <si>
    <t>BW</t>
  </si>
  <si>
    <t>MW</t>
  </si>
  <si>
    <t>WG</t>
  </si>
  <si>
    <t>kg CH4/production cycle</t>
  </si>
  <si>
    <t>kg CO2-e/production cycle</t>
  </si>
  <si>
    <t>kg CO2-e/steer</t>
  </si>
  <si>
    <t>Number of hd</t>
  </si>
  <si>
    <t>CO2eq</t>
  </si>
  <si>
    <t>CH4</t>
  </si>
  <si>
    <t>N20</t>
  </si>
  <si>
    <t>CO2</t>
  </si>
  <si>
    <t>total</t>
  </si>
  <si>
    <t>IPCC Tier II</t>
  </si>
  <si>
    <t>Manure CH4</t>
  </si>
  <si>
    <t>**IPCC Tier II</t>
  </si>
  <si>
    <t xml:space="preserve">meaning </t>
  </si>
  <si>
    <t>Eft</t>
  </si>
  <si>
    <t>annual CH4 emisison factor</t>
  </si>
  <si>
    <t>kg CH4/animal/yr</t>
  </si>
  <si>
    <t>(VSt*days)*(Bot*(0.67kg/m^3)*((MCFs,k)/100)*MSt,s,k)</t>
  </si>
  <si>
    <t>Nt</t>
  </si>
  <si>
    <t>animals in the population</t>
  </si>
  <si>
    <t>#</t>
  </si>
  <si>
    <t>VS</t>
  </si>
  <si>
    <t>volatile solids excretion per day, DM</t>
  </si>
  <si>
    <t>kg VS/day</t>
  </si>
  <si>
    <t>((GE*(1-(DE%/100))+(UE*GE))*((1-ash)/18.45)</t>
  </si>
  <si>
    <t>UE*GE</t>
  </si>
  <si>
    <t>urinary energy as a fraction of GE</t>
  </si>
  <si>
    <t>ASH</t>
  </si>
  <si>
    <t>ash content of manure</t>
  </si>
  <si>
    <t>conversion factor for dietary GE per kg DM</t>
  </si>
  <si>
    <t>DE%</t>
  </si>
  <si>
    <t>%</t>
  </si>
  <si>
    <t>Bot</t>
  </si>
  <si>
    <t>max CH4 producing capacity of manure</t>
  </si>
  <si>
    <t>MCFs,k</t>
  </si>
  <si>
    <t>methane conversion factor for each manure management system S by climate change region k, %</t>
  </si>
  <si>
    <t>MSt,s,k</t>
  </si>
  <si>
    <t>fraction of livestock category T's manure handled using manure management system S in climate region k</t>
  </si>
  <si>
    <t>MCF</t>
  </si>
  <si>
    <t>MS</t>
  </si>
  <si>
    <t>Eft (kg CH4/animal/production cycle)</t>
  </si>
  <si>
    <t>Eft (kg CH4/production cycle)</t>
  </si>
  <si>
    <t>CH4 manure (CO2e/production cycle)</t>
  </si>
  <si>
    <t>Manure N2O</t>
  </si>
  <si>
    <t>Direct- IPCC Tier II</t>
  </si>
  <si>
    <t>S</t>
  </si>
  <si>
    <t>manure management system</t>
  </si>
  <si>
    <t>T</t>
  </si>
  <si>
    <t>category of livestock</t>
  </si>
  <si>
    <t>44/28</t>
  </si>
  <si>
    <t>conversion of N2O-N emission to N2O</t>
  </si>
  <si>
    <t>N2O direct N</t>
  </si>
  <si>
    <t>direct N2O-N emissions from managed soil</t>
  </si>
  <si>
    <t>kg N2O-N/yr</t>
  </si>
  <si>
    <t>kg N2O</t>
  </si>
  <si>
    <t>N2O-N*(44/28)</t>
  </si>
  <si>
    <t>N2O-N(prp)</t>
  </si>
  <si>
    <t>annual direct N2O–N emissions from urine and dung inputs to grazed soils</t>
  </si>
  <si>
    <t>kg N2O–N yr-1</t>
  </si>
  <si>
    <t xml:space="preserve">Fprp,cpp * EF3prp,cpp </t>
  </si>
  <si>
    <t>EF3(prp,cpp)</t>
  </si>
  <si>
    <t>kg N2O-N/kg N</t>
  </si>
  <si>
    <t>Fprp, cpp</t>
  </si>
  <si>
    <t>annual amount of urine and dung N deposited on pasture, range, paddock and by grazing animals</t>
  </si>
  <si>
    <t>kg N yr-1</t>
  </si>
  <si>
    <t>(N(T)*Nex(T))*MS(T,prp)</t>
  </si>
  <si>
    <t xml:space="preserve">number of head of livestock </t>
  </si>
  <si>
    <t>MS(t,s)</t>
  </si>
  <si>
    <t>fraction of N excretion that is managed in manure management system S</t>
  </si>
  <si>
    <t>Nex(t)</t>
  </si>
  <si>
    <t>annual average N excretion per head/yr</t>
  </si>
  <si>
    <t>kg N/animal/yr</t>
  </si>
  <si>
    <t>Nintake*(1-Nretention)</t>
  </si>
  <si>
    <t>Nintake</t>
  </si>
  <si>
    <r>
      <t xml:space="preserve">daily N consumed per animal of category </t>
    </r>
    <r>
      <rPr>
        <i/>
        <sz val="12"/>
        <color theme="1"/>
        <rFont val="Aptos Narrow"/>
        <family val="2"/>
        <scheme val="minor"/>
      </rPr>
      <t>T</t>
    </r>
  </si>
  <si>
    <r>
      <t>kg N animal</t>
    </r>
    <r>
      <rPr>
        <sz val="11"/>
        <color theme="1"/>
        <rFont val="Aptos Narrow"/>
        <family val="2"/>
        <scheme val="minor"/>
      </rPr>
      <t>-1 day-1</t>
    </r>
  </si>
  <si>
    <t>(GE/18.45)*((CP%/100)/6.25)</t>
  </si>
  <si>
    <t>Nretention</t>
  </si>
  <si>
    <t>(milk)+((WG*(268-((7.03*Neg)/WG))/6.25</t>
  </si>
  <si>
    <t>WG (kg/d)</t>
  </si>
  <si>
    <t>Neg (MJ/d)</t>
  </si>
  <si>
    <t>Nretention (kg N/animal/day)</t>
  </si>
  <si>
    <t>Nretention (kg N/animal/yr)</t>
  </si>
  <si>
    <t>N retention fraction</t>
  </si>
  <si>
    <t>CP%</t>
  </si>
  <si>
    <t>GE (MJ/day)</t>
  </si>
  <si>
    <t>Nintake (kg N/animal/day)</t>
  </si>
  <si>
    <t>Nintake (kg N/animal/yr)</t>
  </si>
  <si>
    <t>MS%</t>
  </si>
  <si>
    <t>Fprp</t>
  </si>
  <si>
    <t>direct N2O (kg N2O/production cycle)</t>
  </si>
  <si>
    <t>direct N2O (kg CO2e/production cycle)</t>
  </si>
  <si>
    <t>Indirect</t>
  </si>
  <si>
    <t>N2O(atd)-N</t>
  </si>
  <si>
    <t>N2O-N produced from atmospheric deposition from N volatized from managed soils</t>
  </si>
  <si>
    <t>kg N20-N/production cycle</t>
  </si>
  <si>
    <t>((Fsn x Fracgasf) + (Fon +Fprp) x Fracgasm))*EF4</t>
  </si>
  <si>
    <t>N2O(L)-N</t>
  </si>
  <si>
    <t>N2O produced from leaching and runoff of N additions to managed soils</t>
  </si>
  <si>
    <t>kg N2O-N/production cycle</t>
  </si>
  <si>
    <t>(Fsn + Fon +Fprp + Fcr + Fsom) x Fracleach x EF5</t>
  </si>
  <si>
    <t>Frac leach</t>
  </si>
  <si>
    <t>0.3247 x P/PE - 0.0247</t>
  </si>
  <si>
    <t>P/PE</t>
  </si>
  <si>
    <t>N2Ol</t>
  </si>
  <si>
    <r>
      <t>indirect N</t>
    </r>
    <r>
      <rPr>
        <sz val="11"/>
        <color theme="1"/>
        <rFont val="Aptos Narrow"/>
        <family val="2"/>
        <scheme val="minor"/>
      </rPr>
      <t>2O emissions due to leaching and runoff from Manure Management in the country</t>
    </r>
  </si>
  <si>
    <r>
      <t>kg N</t>
    </r>
    <r>
      <rPr>
        <sz val="11"/>
        <color theme="1"/>
        <rFont val="Aptos Narrow"/>
        <family val="2"/>
        <scheme val="minor"/>
      </rPr>
      <t>2O yr-1</t>
    </r>
  </si>
  <si>
    <t>(Nleaching x EF5) x 44/28</t>
  </si>
  <si>
    <t>EF5</t>
  </si>
  <si>
    <t>kg N2O-N</t>
  </si>
  <si>
    <t>N2O from volatilization</t>
  </si>
  <si>
    <t>Fracgasm</t>
  </si>
  <si>
    <t>EF4</t>
  </si>
  <si>
    <t xml:space="preserve">N2O from leaching and runoff </t>
  </si>
  <si>
    <t>total indirect N2O-N</t>
  </si>
  <si>
    <t>total indirect N2O</t>
  </si>
  <si>
    <t>total indirect N2O (kg CO2e)</t>
  </si>
  <si>
    <t>kg CO2e/production cycle</t>
  </si>
  <si>
    <t>manure methane</t>
  </si>
  <si>
    <t>indirect N2O</t>
  </si>
  <si>
    <t>direct N2O</t>
  </si>
  <si>
    <t>Diet Nutritive Value</t>
  </si>
  <si>
    <t>Pasture</t>
  </si>
  <si>
    <t>Supplement</t>
  </si>
  <si>
    <t>cp</t>
  </si>
  <si>
    <t>nem</t>
  </si>
  <si>
    <t>neg</t>
  </si>
  <si>
    <t>Pasture 1</t>
  </si>
  <si>
    <t>DMI, % of BW Pasture</t>
  </si>
  <si>
    <t>DMI Pasture, kg DM</t>
  </si>
  <si>
    <t>DMI, Supplement</t>
  </si>
  <si>
    <t>Supplement Fed, lb hd/d AF</t>
  </si>
  <si>
    <t>Supplement Fed, kg hd/d AF</t>
  </si>
  <si>
    <t>DM</t>
  </si>
  <si>
    <t xml:space="preserve">calculation--&gt;forage consumption/(((pature yield x utilization) </t>
  </si>
  <si>
    <t>enteric</t>
  </si>
  <si>
    <t>manure</t>
  </si>
  <si>
    <t>total emissions (kg CO2e)</t>
  </si>
  <si>
    <t>total emissions (kg CO2/animal)</t>
  </si>
  <si>
    <t>CO2eq.</t>
  </si>
  <si>
    <t>Land Size, acre</t>
  </si>
  <si>
    <t>Land Size, hectare</t>
  </si>
  <si>
    <t>total emissions (kg CO2e/lbs BW)</t>
  </si>
  <si>
    <t>Total emissions Land (kg CO2e/acre)</t>
  </si>
  <si>
    <t>Total Land, acre</t>
  </si>
  <si>
    <t>Land size, acre</t>
  </si>
  <si>
    <t>Pasture type</t>
  </si>
  <si>
    <t>Supplemented (y/n)</t>
  </si>
  <si>
    <t>Supplement type</t>
  </si>
  <si>
    <t>Supplement rate</t>
  </si>
  <si>
    <t>Implant (y/n)</t>
  </si>
  <si>
    <t>Monensin (y/n)</t>
  </si>
  <si>
    <t>Cattle breed</t>
  </si>
  <si>
    <t>Cattle sex</t>
  </si>
  <si>
    <t>yes</t>
  </si>
  <si>
    <t>no</t>
  </si>
  <si>
    <t>Cattle Placed, hd</t>
  </si>
  <si>
    <t>Cattle Shipped, hd</t>
  </si>
  <si>
    <t>Angus</t>
  </si>
  <si>
    <t>Hereford</t>
  </si>
  <si>
    <t>Braham</t>
  </si>
  <si>
    <t>Angus cross</t>
  </si>
  <si>
    <t>Bos indicus cross</t>
  </si>
  <si>
    <t>Beef x dairy</t>
  </si>
  <si>
    <t>heifers</t>
  </si>
  <si>
    <t xml:space="preserve">cows </t>
  </si>
  <si>
    <t>bulls</t>
  </si>
  <si>
    <t>steers</t>
  </si>
  <si>
    <t>steers &amp; heifers</t>
  </si>
  <si>
    <t>INTRODUCTION</t>
  </si>
  <si>
    <t>INSTRUCTIONS FOR THE USER:</t>
  </si>
  <si>
    <t xml:space="preserve">First, input data from your closeouts into the yellow USER INPUTS tab. Reference the gray GUIDELINES tab for definitions and units of inputs. Next, the green USER OUTPUTS tab has the estimated emissions per kg FBW and HCW. </t>
  </si>
  <si>
    <t>Inputs/Outputs</t>
  </si>
  <si>
    <t>Input</t>
  </si>
  <si>
    <t>Description</t>
  </si>
  <si>
    <t>Cattle</t>
  </si>
  <si>
    <t>Sex</t>
  </si>
  <si>
    <t>Steer or heifer</t>
  </si>
  <si>
    <t>Head in, n</t>
  </si>
  <si>
    <t>Head shipped, n</t>
  </si>
  <si>
    <t xml:space="preserve">Date in </t>
  </si>
  <si>
    <t>short form, mm/dd/yyy</t>
  </si>
  <si>
    <t>Health</t>
  </si>
  <si>
    <t>Do you know dead dates?</t>
  </si>
  <si>
    <t>yes/no</t>
  </si>
  <si>
    <t>Performance</t>
  </si>
  <si>
    <t>Feed</t>
  </si>
  <si>
    <t>Hormone implant</t>
  </si>
  <si>
    <t>Rumensin/ionophore</t>
  </si>
  <si>
    <t>% of days rumensin/ionophore used</t>
  </si>
  <si>
    <t>between 0 and 100</t>
  </si>
  <si>
    <t xml:space="preserve"> Outcomes </t>
  </si>
  <si>
    <t>Emission</t>
  </si>
  <si>
    <r>
      <t>kg CO</t>
    </r>
    <r>
      <rPr>
        <b/>
        <vertAlign val="subscript"/>
        <sz val="18"/>
        <color theme="1"/>
        <rFont val="Aptos Narrow"/>
        <family val="2"/>
        <scheme val="minor"/>
      </rPr>
      <t>2</t>
    </r>
    <r>
      <rPr>
        <b/>
        <sz val="18"/>
        <color theme="1"/>
        <rFont val="Aptos Narrow"/>
        <family val="2"/>
        <scheme val="minor"/>
      </rPr>
      <t>e</t>
    </r>
  </si>
  <si>
    <r>
      <t>Enteric (CH</t>
    </r>
    <r>
      <rPr>
        <vertAlign val="subscript"/>
        <sz val="18"/>
        <color theme="1"/>
        <rFont val="Aptos Narrow"/>
        <family val="2"/>
        <scheme val="minor"/>
      </rPr>
      <t>4</t>
    </r>
    <r>
      <rPr>
        <sz val="18"/>
        <color theme="1"/>
        <rFont val="Aptos Narrow"/>
        <family val="2"/>
        <scheme val="minor"/>
      </rPr>
      <t>)</t>
    </r>
  </si>
  <si>
    <t>Total</t>
  </si>
  <si>
    <t>The number of animals that arrived</t>
  </si>
  <si>
    <t>The number of animals that were shipped to the feedlot</t>
  </si>
  <si>
    <t>The total weight of the animals that arrived in pounds</t>
  </si>
  <si>
    <t>The total weight of the animals that left  in pounds, multiplied by 0.96 (4% shrink)</t>
  </si>
  <si>
    <t>GD</t>
  </si>
  <si>
    <t>Total days grazed</t>
  </si>
  <si>
    <t>Type of supplement used</t>
  </si>
  <si>
    <t>Supplement Rate</t>
  </si>
  <si>
    <t>Land Size</t>
  </si>
  <si>
    <t>acres grazed</t>
  </si>
  <si>
    <t>Pasture Type</t>
  </si>
  <si>
    <t>Total emission</t>
  </si>
  <si>
    <t>kg CO2e/hd</t>
  </si>
  <si>
    <t>DE (%GE)</t>
  </si>
  <si>
    <t>Alfalfa, fresh and greenchop</t>
  </si>
  <si>
    <t>Bermuda, vegetative</t>
  </si>
  <si>
    <t>Bermuda, boot stage</t>
  </si>
  <si>
    <t>Bermuda, fall, mature</t>
  </si>
  <si>
    <t>Bermuda, winter, mature</t>
  </si>
  <si>
    <t>Bermuda, stockpiled, Sep-Oct</t>
  </si>
  <si>
    <t>Bermuda, stockpiled, Nov-Dec</t>
  </si>
  <si>
    <t>Bermuda, stockpiled, Jan-Feb</t>
  </si>
  <si>
    <t>Fescue, vegetative</t>
  </si>
  <si>
    <t>Fescue, boot stage</t>
  </si>
  <si>
    <t>Fescue, mature</t>
  </si>
  <si>
    <t>Fescue, stockpiled, Jan-Feb</t>
  </si>
  <si>
    <t>Fescue, stockpiled, Nov-Dec</t>
  </si>
  <si>
    <t>Native Range, April-June</t>
  </si>
  <si>
    <t>Native Range, July-August</t>
  </si>
  <si>
    <t>Native Range, Sept Oct</t>
  </si>
  <si>
    <t>Native Range, Nov-Dec</t>
  </si>
  <si>
    <t>Native Range, Jan-March</t>
  </si>
  <si>
    <t>Wheat Forage, vegetative</t>
  </si>
  <si>
    <t>Added Feed</t>
  </si>
  <si>
    <t>Alfalfa Hay,early bloom</t>
  </si>
  <si>
    <t>Alfalfa Hay, mid bloom</t>
  </si>
  <si>
    <t>Alfalfa Hay, full bloom</t>
  </si>
  <si>
    <t>Alfalfa Silage</t>
  </si>
  <si>
    <t>Bermuda Hay, vegetative</t>
  </si>
  <si>
    <t>Bermuda Hay, early bloom</t>
  </si>
  <si>
    <t>Bermuda Hay, full bloom</t>
  </si>
  <si>
    <t>Brome Hay, early bloom</t>
  </si>
  <si>
    <t>Corn Silage</t>
  </si>
  <si>
    <t>Cotton Gin Trash</t>
  </si>
  <si>
    <t>Fescue Hay, early bloom</t>
  </si>
  <si>
    <t>Fescue Hay, full bloom</t>
  </si>
  <si>
    <t>Oat Hay</t>
  </si>
  <si>
    <t>Poultry Litter</t>
  </si>
  <si>
    <t>Prairie Hay, vegetative</t>
  </si>
  <si>
    <t>Prairie Hay, mature</t>
  </si>
  <si>
    <t>Red Clover Hay</t>
  </si>
  <si>
    <t>Sorghum Sudan Hay, early bloom</t>
  </si>
  <si>
    <t>Soybean Hay</t>
  </si>
  <si>
    <t>Sudan Hay, full bloom</t>
  </si>
  <si>
    <t>Sorghum Silage</t>
  </si>
  <si>
    <t>Sorghum Sudan Silage</t>
  </si>
  <si>
    <t>Triticale Hay</t>
  </si>
  <si>
    <t>Triticale Silage</t>
  </si>
  <si>
    <t>Wheat Hay</t>
  </si>
  <si>
    <t>Wheat Silage</t>
  </si>
  <si>
    <t>Wheat Straw</t>
  </si>
  <si>
    <t>Wheat Straw, Ammoniated</t>
  </si>
  <si>
    <t>Barley Malt pellets with hulls</t>
  </si>
  <si>
    <t>Corn Gluten Feed</t>
  </si>
  <si>
    <t>Corn Grain, rolled</t>
  </si>
  <si>
    <t>Corn Grain, steam flaked</t>
  </si>
  <si>
    <t>Corn Grain, whole</t>
  </si>
  <si>
    <t>Cotton Seed Hulls</t>
  </si>
  <si>
    <t>Cottonseed meal, 41%</t>
  </si>
  <si>
    <t>Cottonseed, whole</t>
  </si>
  <si>
    <t>Distillers Grains with Solubles, corn</t>
  </si>
  <si>
    <t>Distillers Grains with Solubles, sorghum</t>
  </si>
  <si>
    <t>Milo, ground</t>
  </si>
  <si>
    <t>Milo, steam flaked</t>
  </si>
  <si>
    <t>Oats</t>
  </si>
  <si>
    <t>Peanut Hulls</t>
  </si>
  <si>
    <t>Peanut Meal, solvent</t>
  </si>
  <si>
    <t>Milo, rolled or grnd</t>
  </si>
  <si>
    <t>Rice Bran, full fat</t>
  </si>
  <si>
    <t>Rice Grain</t>
  </si>
  <si>
    <t>Rice Hulls</t>
  </si>
  <si>
    <t>Soybean Hulls</t>
  </si>
  <si>
    <t>Soybean meal, 48%</t>
  </si>
  <si>
    <t>Soybeans, Whole</t>
  </si>
  <si>
    <t>Sunflower Seed Hulls</t>
  </si>
  <si>
    <t>Sunflower Seed Meal with hulls</t>
  </si>
  <si>
    <t>Wheat Grain, rolled</t>
  </si>
  <si>
    <t>Wheat Bran</t>
  </si>
  <si>
    <t>Wheat Middlings</t>
  </si>
  <si>
    <t>Wheat Mill Run</t>
  </si>
  <si>
    <t>Alfalfa Pellets</t>
  </si>
  <si>
    <t>Aalfala Cubes</t>
  </si>
  <si>
    <t>Alfalfa Dehydrated, 17% CP</t>
  </si>
  <si>
    <t>Cane molasses</t>
  </si>
  <si>
    <t>Liquid 20%</t>
  </si>
  <si>
    <t>Liquid 25%</t>
  </si>
  <si>
    <t>Liquid 30%</t>
  </si>
  <si>
    <t>Protein block</t>
  </si>
  <si>
    <t>Range Cube, 20%</t>
  </si>
  <si>
    <t>Range Cube, 25%</t>
  </si>
  <si>
    <t>Range Cube, 32%</t>
  </si>
  <si>
    <t>Range Cube, 38%</t>
  </si>
  <si>
    <t>Protein</t>
  </si>
  <si>
    <t>RDP</t>
  </si>
  <si>
    <t>TDN</t>
  </si>
  <si>
    <t>ME</t>
  </si>
  <si>
    <t>NE m</t>
  </si>
  <si>
    <t>NE g</t>
  </si>
  <si>
    <t>NDF</t>
  </si>
  <si>
    <t>pef</t>
  </si>
  <si>
    <t>FAT</t>
  </si>
  <si>
    <t>Number</t>
  </si>
  <si>
    <t xml:space="preserve">FEED NAME </t>
  </si>
  <si>
    <t>% of CP</t>
  </si>
  <si>
    <t>Mcal/kg</t>
  </si>
  <si>
    <t>Mcal/lb</t>
  </si>
  <si>
    <t>% of NDF</t>
  </si>
  <si>
    <t>protein, corn, hay type, etc.</t>
  </si>
  <si>
    <t>Amount per hd per d</t>
  </si>
  <si>
    <t>Days Grazed</t>
  </si>
  <si>
    <t>Cattle Out Weight</t>
  </si>
  <si>
    <t>Cattle In Weight</t>
  </si>
  <si>
    <t>--</t>
  </si>
  <si>
    <t>---</t>
  </si>
  <si>
    <t>% GE</t>
  </si>
  <si>
    <t>Monensin</t>
  </si>
  <si>
    <t>Total Fat, %</t>
  </si>
  <si>
    <t>East Pasture</t>
  </si>
  <si>
    <t>35 Pasture</t>
  </si>
  <si>
    <t>17 Pasture</t>
  </si>
  <si>
    <t>Big Hay</t>
  </si>
  <si>
    <t>Cattle in weight</t>
  </si>
  <si>
    <t>Cattle out weight</t>
  </si>
  <si>
    <t>Date In</t>
  </si>
  <si>
    <t>Date Out</t>
  </si>
  <si>
    <t>Date of Deads (if known)</t>
  </si>
  <si>
    <t>Cattle Breed</t>
  </si>
  <si>
    <t>Select from drop down menu the breed that best fits</t>
  </si>
  <si>
    <t>Stocker Operation</t>
  </si>
  <si>
    <t>Pasture Utilization Rate (%)</t>
  </si>
  <si>
    <t>Pasture Forage Yield (ton/acre)</t>
  </si>
  <si>
    <t>Actual DE (%GE)</t>
  </si>
  <si>
    <t>Actual Fat</t>
  </si>
  <si>
    <t>Actual CP</t>
  </si>
  <si>
    <t>GE MJ/kg</t>
  </si>
  <si>
    <t>GE (MJ/kg)</t>
  </si>
  <si>
    <t>Actual GE</t>
  </si>
  <si>
    <t>GE intake (MJ/d)</t>
  </si>
  <si>
    <t>The type of pasture grazed, select the closest pasture type</t>
  </si>
  <si>
    <t>MJ from GEI</t>
  </si>
  <si>
    <t>Emission factor from N2O volatilization</t>
  </si>
  <si>
    <t>default N leaching/runoff (none for pasture)</t>
  </si>
  <si>
    <t>default emission factor for cattle</t>
  </si>
  <si>
    <t>from evaporation and rainfall (not needed on pasture)</t>
  </si>
  <si>
    <r>
      <t xml:space="preserve">daily N retained per animal of category </t>
    </r>
    <r>
      <rPr>
        <i/>
        <sz val="12"/>
        <color theme="1"/>
        <rFont val="Aptos Narrow"/>
        <family val="2"/>
        <scheme val="minor"/>
      </rPr>
      <t>T</t>
    </r>
  </si>
  <si>
    <t>You can add this, but not in the U.S. GHG inventory handbook</t>
  </si>
  <si>
    <t>digestibility of feed, DE as % GE</t>
  </si>
  <si>
    <t>This calculator estimates greenhouse gas (GHG) emissions in stocker cattle. This can be modified to fit cow-calf by altering the enteric methane tab and emission factors for manure. If you do so, intake should be calculated using tier II equations or altered to pretermined % BW.</t>
  </si>
  <si>
    <t>Calculated from shrunk in and out weights</t>
  </si>
  <si>
    <t>Fat</t>
  </si>
  <si>
    <t>*</t>
  </si>
  <si>
    <t>From Okstate COWculator</t>
  </si>
  <si>
    <t>Amount</t>
  </si>
  <si>
    <t>Inputs</t>
  </si>
  <si>
    <t>Enteric</t>
  </si>
  <si>
    <t>Manure</t>
  </si>
  <si>
    <t>bw gain</t>
  </si>
  <si>
    <t>Emission Intensity (kg CO2/kg gain)</t>
  </si>
  <si>
    <t>Emissions Intensity (per kg ADG)</t>
  </si>
  <si>
    <t>The estimated kg CO2e/kg FBW (emissions per ADG)</t>
  </si>
  <si>
    <r>
      <t>Manure (CH</t>
    </r>
    <r>
      <rPr>
        <vertAlign val="subscript"/>
        <sz val="18"/>
        <color theme="1"/>
        <rFont val="Aptos Narrow"/>
        <family val="2"/>
        <scheme val="minor"/>
      </rPr>
      <t>4</t>
    </r>
    <r>
      <rPr>
        <sz val="18"/>
        <color theme="1"/>
        <rFont val="Aptos Narrow"/>
        <family val="2"/>
        <scheme val="minor"/>
      </rPr>
      <t xml:space="preserve"> and N</t>
    </r>
    <r>
      <rPr>
        <vertAlign val="subscript"/>
        <sz val="18"/>
        <color theme="1"/>
        <rFont val="Aptos Narrow"/>
        <family val="2"/>
        <scheme val="minor"/>
      </rPr>
      <t>2</t>
    </r>
    <r>
      <rPr>
        <sz val="18"/>
        <color theme="1"/>
        <rFont val="Aptos Narrow"/>
        <family val="2"/>
        <scheme val="minor"/>
      </rPr>
      <t>O)</t>
    </r>
  </si>
  <si>
    <r>
      <t>Total Emissions (kg CO</t>
    </r>
    <r>
      <rPr>
        <b/>
        <vertAlign val="subscript"/>
        <sz val="11"/>
        <color theme="0"/>
        <rFont val="Aptos Narrow"/>
        <family val="2"/>
        <scheme val="minor"/>
      </rPr>
      <t>2</t>
    </r>
    <r>
      <rPr>
        <b/>
        <sz val="11"/>
        <color theme="0"/>
        <rFont val="Aptos Narrow"/>
        <family val="2"/>
        <scheme val="minor"/>
      </rPr>
      <t>e)</t>
    </r>
  </si>
  <si>
    <r>
      <t>Outputs (emissions,  CO</t>
    </r>
    <r>
      <rPr>
        <b/>
        <vertAlign val="subscript"/>
        <sz val="11"/>
        <color theme="0"/>
        <rFont val="Aptos Narrow"/>
        <family val="2"/>
        <scheme val="minor"/>
      </rPr>
      <t>2</t>
    </r>
    <r>
      <rPr>
        <b/>
        <sz val="11"/>
        <color theme="0"/>
        <rFont val="Aptos Narrow"/>
        <family val="2"/>
        <scheme val="minor"/>
      </rPr>
      <t>e)</t>
    </r>
  </si>
  <si>
    <r>
      <t>Total Emissions (kg CO</t>
    </r>
    <r>
      <rPr>
        <b/>
        <vertAlign val="subscript"/>
        <sz val="11"/>
        <color theme="0"/>
        <rFont val="Aptos Narrow"/>
        <family val="2"/>
        <scheme val="minor"/>
      </rPr>
      <t>2</t>
    </r>
    <r>
      <rPr>
        <b/>
        <sz val="11"/>
        <color theme="0"/>
        <rFont val="Aptos Narrow"/>
        <family val="2"/>
        <scheme val="minor"/>
      </rPr>
      <t>/animal)</t>
    </r>
  </si>
  <si>
    <r>
      <t>Total emissions Land (kg CO</t>
    </r>
    <r>
      <rPr>
        <b/>
        <vertAlign val="subscript"/>
        <sz val="11"/>
        <color theme="0"/>
        <rFont val="Aptos Narrow"/>
        <family val="2"/>
        <scheme val="minor"/>
      </rPr>
      <t>2</t>
    </r>
    <r>
      <rPr>
        <b/>
        <sz val="11"/>
        <color theme="0"/>
        <rFont val="Aptos Narrow"/>
        <family val="2"/>
        <scheme val="minor"/>
      </rPr>
      <t>e/acre)</t>
    </r>
  </si>
  <si>
    <r>
      <t>Emission Intensity (kg CO</t>
    </r>
    <r>
      <rPr>
        <b/>
        <vertAlign val="subscript"/>
        <sz val="11"/>
        <color theme="0"/>
        <rFont val="Aptos Narrow"/>
        <family val="2"/>
        <scheme val="minor"/>
      </rPr>
      <t>2</t>
    </r>
    <r>
      <rPr>
        <b/>
        <sz val="11"/>
        <color theme="0"/>
        <rFont val="Aptos Narrow"/>
        <family val="2"/>
        <scheme val="minor"/>
      </rPr>
      <t>e/kg gain)</t>
    </r>
  </si>
  <si>
    <t>MAH Project                                                                                                                                                         Version- 5.5.2026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</si>
</sst>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2"/>
      <color theme="1"/>
      <name val="Aptos Narrow"/>
      <family val="2"/>
      <scheme val="minor"/>
    </font>
    <font>
      <i/>
      <sz val="12"/>
      <color theme="1"/>
      <name val="Aptos Narrow"/>
      <family val="2"/>
      <scheme val="minor"/>
    </font>
    <font>
      <i/>
      <sz val="12"/>
      <color theme="1"/>
      <name val="Calibri (Body)"/>
    </font>
    <font>
      <b/>
      <sz val="16"/>
      <color theme="1"/>
      <name val="Aptos Narrow"/>
      <family val="2"/>
      <scheme val="minor"/>
    </font>
    <font>
      <sz val="18"/>
      <color theme="1"/>
      <name val="Aptos Narrow"/>
      <family val="2"/>
      <scheme val="minor"/>
    </font>
    <font>
      <b/>
      <sz val="12"/>
      <color theme="1"/>
      <name val="Calibri (Body)"/>
    </font>
    <font>
      <sz val="12"/>
      <color theme="1"/>
      <name val="Calibri (Body)"/>
    </font>
    <font>
      <sz val="10"/>
      <color theme="1"/>
      <name val="Times New Roman"/>
      <family val="1"/>
    </font>
    <font>
      <sz val="10"/>
      <name val="Arial"/>
      <family val="2"/>
    </font>
    <font>
      <b/>
      <sz val="12"/>
      <color theme="0"/>
      <name val="Arial"/>
      <family val="2"/>
    </font>
    <font>
      <b/>
      <sz val="12"/>
      <color theme="0"/>
      <name val="Aptos Narrow"/>
      <family val="2"/>
      <scheme val="minor"/>
    </font>
    <font>
      <sz val="12"/>
      <color theme="1"/>
      <name val="Aptos Narrow"/>
      <family val="2"/>
      <scheme val="minor"/>
    </font>
    <font>
      <sz val="16"/>
      <color theme="1"/>
      <name val="Aptos Narrow"/>
      <family val="2"/>
      <scheme val="minor"/>
    </font>
    <font>
      <b/>
      <vertAlign val="subscript"/>
      <sz val="18"/>
      <color theme="1"/>
      <name val="Aptos Narrow"/>
      <family val="2"/>
      <scheme val="minor"/>
    </font>
    <font>
      <b/>
      <sz val="18"/>
      <color theme="1"/>
      <name val="Aptos Narrow"/>
      <family val="2"/>
      <scheme val="minor"/>
    </font>
    <font>
      <vertAlign val="subscript"/>
      <sz val="18"/>
      <color theme="1"/>
      <name val="Aptos Narrow"/>
      <family val="2"/>
      <scheme val="minor"/>
    </font>
    <font>
      <i/>
      <sz val="16"/>
      <color theme="1"/>
      <name val="Aptos Narrow"/>
      <family val="2"/>
      <scheme val="minor"/>
    </font>
    <font>
      <b/>
      <vertAlign val="subscript"/>
      <sz val="11"/>
      <color theme="0"/>
      <name val="Aptos Narrow"/>
      <family val="2"/>
      <scheme val="minor"/>
    </font>
  </fonts>
  <fills count="11">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7"/>
        <bgColor indexed="64"/>
      </patternFill>
    </fill>
    <fill>
      <patternFill patternType="solid">
        <fgColor rgb="FF7030A0"/>
        <bgColor indexed="64"/>
      </patternFill>
    </fill>
    <fill>
      <patternFill patternType="solid">
        <fgColor theme="5" tint="0.59999389629810485"/>
        <bgColor indexed="64"/>
      </patternFill>
    </fill>
    <fill>
      <patternFill patternType="solid">
        <fgColor theme="0"/>
        <bgColor theme="0"/>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2" fillId="0" borderId="0"/>
  </cellStyleXfs>
  <cellXfs count="69">
    <xf numFmtId="0" fontId="0" fillId="0" borderId="0" xfId="0"/>
    <xf numFmtId="0" fontId="5" fillId="0" borderId="0" xfId="0" applyFont="1"/>
    <xf numFmtId="0" fontId="0" fillId="4" borderId="0" xfId="0" applyFill="1"/>
    <xf numFmtId="0" fontId="4" fillId="0" borderId="0" xfId="0" applyFont="1"/>
    <xf numFmtId="0" fontId="6" fillId="0" borderId="0" xfId="0" applyFont="1"/>
    <xf numFmtId="0" fontId="3" fillId="0" borderId="0" xfId="0" applyFont="1"/>
    <xf numFmtId="0" fontId="2" fillId="5" borderId="0" xfId="0" applyFont="1" applyFill="1"/>
    <xf numFmtId="0" fontId="0" fillId="2" borderId="0" xfId="0" applyFill="1"/>
    <xf numFmtId="0" fontId="8" fillId="0" borderId="0" xfId="0" applyFont="1"/>
    <xf numFmtId="0" fontId="11" fillId="0" borderId="0" xfId="0" applyFont="1"/>
    <xf numFmtId="0" fontId="0" fillId="2" borderId="1" xfId="0" applyFill="1" applyBorder="1"/>
    <xf numFmtId="0" fontId="0" fillId="3" borderId="1" xfId="0" applyFill="1" applyBorder="1"/>
    <xf numFmtId="10" fontId="0" fillId="3" borderId="1" xfId="0" applyNumberFormat="1" applyFill="1" applyBorder="1"/>
    <xf numFmtId="0" fontId="0" fillId="4" borderId="1" xfId="0" applyFill="1" applyBorder="1"/>
    <xf numFmtId="0" fontId="0" fillId="3" borderId="0" xfId="0" applyFill="1"/>
    <xf numFmtId="10" fontId="5" fillId="0" borderId="0" xfId="0" applyNumberFormat="1" applyFont="1"/>
    <xf numFmtId="2" fontId="0" fillId="0" borderId="0" xfId="0" applyNumberFormat="1"/>
    <xf numFmtId="0" fontId="0" fillId="6" borderId="0" xfId="0" applyFill="1"/>
    <xf numFmtId="0" fontId="0" fillId="2" borderId="3" xfId="0" applyFill="1" applyBorder="1"/>
    <xf numFmtId="0" fontId="0" fillId="3" borderId="4" xfId="0" applyFill="1" applyBorder="1"/>
    <xf numFmtId="0" fontId="0" fillId="3" borderId="6" xfId="0" applyFill="1" applyBorder="1"/>
    <xf numFmtId="0" fontId="0" fillId="2" borderId="8" xfId="0" applyFill="1" applyBorder="1"/>
    <xf numFmtId="0" fontId="0" fillId="3" borderId="9" xfId="0" applyFill="1" applyBorder="1"/>
    <xf numFmtId="0" fontId="2" fillId="5" borderId="0" xfId="0" applyFont="1" applyFill="1" applyAlignment="1">
      <alignment horizontal="center"/>
    </xf>
    <xf numFmtId="0" fontId="0" fillId="7" borderId="0" xfId="0" applyFill="1"/>
    <xf numFmtId="0" fontId="0" fillId="7" borderId="0" xfId="0" applyFill="1" applyAlignment="1">
      <alignment wrapText="1"/>
    </xf>
    <xf numFmtId="0" fontId="7" fillId="0" borderId="12" xfId="0" applyFont="1" applyBorder="1"/>
    <xf numFmtId="0" fontId="7" fillId="0" borderId="13" xfId="0" applyFont="1" applyBorder="1"/>
    <xf numFmtId="0" fontId="7" fillId="8" borderId="14" xfId="0" applyFont="1" applyFill="1" applyBorder="1" applyAlignment="1">
      <alignment horizontal="left" indent="1"/>
    </xf>
    <xf numFmtId="0" fontId="16" fillId="8" borderId="15" xfId="0" applyFont="1" applyFill="1" applyBorder="1" applyAlignment="1">
      <alignment horizontal="left" indent="1"/>
    </xf>
    <xf numFmtId="0" fontId="16" fillId="8" borderId="14" xfId="0" applyFont="1" applyFill="1" applyBorder="1" applyAlignment="1">
      <alignment horizontal="left" indent="1"/>
    </xf>
    <xf numFmtId="0" fontId="16" fillId="8" borderId="13" xfId="0" applyFont="1" applyFill="1" applyBorder="1" applyAlignment="1">
      <alignment horizontal="left" indent="1"/>
    </xf>
    <xf numFmtId="0" fontId="16" fillId="8" borderId="12" xfId="0" applyFont="1" applyFill="1" applyBorder="1" applyAlignment="1">
      <alignment horizontal="left" indent="1"/>
    </xf>
    <xf numFmtId="0" fontId="16" fillId="8" borderId="16" xfId="0" applyFont="1" applyFill="1" applyBorder="1" applyAlignment="1">
      <alignment horizontal="left" indent="1"/>
    </xf>
    <xf numFmtId="0" fontId="7" fillId="8" borderId="12" xfId="0" applyFont="1" applyFill="1" applyBorder="1" applyAlignment="1">
      <alignment horizontal="left" indent="1"/>
    </xf>
    <xf numFmtId="0" fontId="7" fillId="8" borderId="13" xfId="0" applyFont="1" applyFill="1" applyBorder="1" applyAlignment="1">
      <alignment horizontal="left" indent="1"/>
    </xf>
    <xf numFmtId="0" fontId="20" fillId="8" borderId="14" xfId="0" applyFont="1" applyFill="1" applyBorder="1" applyAlignment="1">
      <alignment horizontal="left"/>
    </xf>
    <xf numFmtId="0" fontId="16" fillId="8" borderId="17" xfId="0" applyFont="1" applyFill="1" applyBorder="1" applyAlignment="1">
      <alignment horizontal="left" indent="1"/>
    </xf>
    <xf numFmtId="0" fontId="16" fillId="8" borderId="18" xfId="0" applyFont="1" applyFill="1" applyBorder="1" applyAlignment="1">
      <alignment horizontal="left" indent="1"/>
    </xf>
    <xf numFmtId="0" fontId="0" fillId="9" borderId="0" xfId="0" applyFill="1"/>
    <xf numFmtId="0" fontId="9" fillId="10" borderId="1" xfId="0" applyFont="1" applyFill="1" applyBorder="1"/>
    <xf numFmtId="0" fontId="0" fillId="10" borderId="1" xfId="0" applyFill="1" applyBorder="1"/>
    <xf numFmtId="0" fontId="10" fillId="10" borderId="1" xfId="0" applyFont="1" applyFill="1" applyBorder="1"/>
    <xf numFmtId="0" fontId="0" fillId="10" borderId="1" xfId="0" applyFill="1" applyBorder="1" applyAlignment="1">
      <alignment horizontal="left"/>
    </xf>
    <xf numFmtId="0" fontId="0" fillId="10" borderId="1" xfId="0" applyFill="1" applyBorder="1" applyAlignment="1">
      <alignment horizontal="right"/>
    </xf>
    <xf numFmtId="0" fontId="4" fillId="10" borderId="1" xfId="0" applyFont="1" applyFill="1" applyBorder="1"/>
    <xf numFmtId="0" fontId="0" fillId="10" borderId="0" xfId="0" applyFill="1"/>
    <xf numFmtId="0" fontId="5" fillId="10" borderId="0" xfId="0" applyFont="1" applyFill="1"/>
    <xf numFmtId="0" fontId="1" fillId="10" borderId="0" xfId="0" applyFont="1" applyFill="1"/>
    <xf numFmtId="0" fontId="4" fillId="10" borderId="0" xfId="0" applyFont="1" applyFill="1"/>
    <xf numFmtId="0" fontId="0" fillId="10" borderId="0" xfId="0" quotePrefix="1" applyFill="1"/>
    <xf numFmtId="0" fontId="2" fillId="0" borderId="0" xfId="0" applyFont="1" applyAlignment="1">
      <alignment horizontal="center"/>
    </xf>
    <xf numFmtId="0" fontId="2" fillId="5" borderId="0" xfId="0" applyFont="1" applyFill="1" applyProtection="1">
      <protection hidden="1"/>
    </xf>
    <xf numFmtId="0" fontId="2" fillId="5" borderId="0" xfId="0" applyFont="1" applyFill="1" applyAlignment="1" applyProtection="1">
      <alignment horizontal="center"/>
      <protection hidden="1"/>
    </xf>
    <xf numFmtId="2" fontId="0" fillId="0" borderId="0" xfId="0" applyNumberFormat="1" applyProtection="1">
      <protection hidden="1"/>
    </xf>
    <xf numFmtId="0" fontId="0" fillId="0" borderId="0" xfId="0" applyProtection="1">
      <protection hidden="1"/>
    </xf>
    <xf numFmtId="0" fontId="0" fillId="8" borderId="0" xfId="0" applyFill="1"/>
    <xf numFmtId="0" fontId="0" fillId="8" borderId="0" xfId="0" applyFill="1" applyAlignment="1">
      <alignment wrapText="1"/>
    </xf>
    <xf numFmtId="0" fontId="15" fillId="8" borderId="0" xfId="0" applyFont="1" applyFill="1" applyAlignment="1">
      <alignment horizontal="left" wrapText="1"/>
    </xf>
    <xf numFmtId="0" fontId="3" fillId="7" borderId="0" xfId="0" applyFont="1" applyFill="1" applyAlignment="1">
      <alignment horizontal="left" wrapText="1"/>
    </xf>
    <xf numFmtId="0" fontId="13" fillId="5" borderId="19" xfId="1" applyFont="1" applyFill="1" applyBorder="1" applyAlignment="1">
      <alignment horizontal="center"/>
    </xf>
    <xf numFmtId="0" fontId="14" fillId="5" borderId="20" xfId="1" applyFont="1" applyFill="1" applyBorder="1" applyAlignment="1">
      <alignment wrapText="1"/>
    </xf>
    <xf numFmtId="0" fontId="7" fillId="0" borderId="10" xfId="0" applyFont="1" applyBorder="1"/>
    <xf numFmtId="0" fontId="7" fillId="0" borderId="11" xfId="0" applyFont="1" applyBorder="1"/>
    <xf numFmtId="0" fontId="2" fillId="5" borderId="0" xfId="0" applyFont="1" applyFill="1" applyAlignment="1" applyProtection="1">
      <alignment horizontal="center"/>
      <protection locked="0"/>
    </xf>
    <xf numFmtId="0" fontId="0" fillId="0" borderId="0" xfId="0" applyProtection="1">
      <protection locked="0"/>
    </xf>
    <xf numFmtId="0" fontId="0" fillId="0" borderId="2" xfId="0" applyBorder="1" applyAlignment="1">
      <alignment horizontal="center" vertical="center" textRotation="180" wrapText="1"/>
    </xf>
    <xf numFmtId="0" fontId="0" fillId="0" borderId="5" xfId="0" applyBorder="1" applyAlignment="1">
      <alignment horizontal="center" vertical="center" textRotation="180" wrapText="1"/>
    </xf>
    <xf numFmtId="0" fontId="0" fillId="0" borderId="7" xfId="0" applyBorder="1" applyAlignment="1">
      <alignment horizontal="center" vertical="center" textRotation="180" wrapText="1"/>
    </xf>
  </cellXfs>
  <cellStyles count="2">
    <cellStyle name="Normal" xfId="0" builtinId="0"/>
    <cellStyle name="Normal 4" xfId="1" xr:uid="{687A230D-DCD0-452B-B376-0ED64FB583FA}"/>
  </cellStyles>
  <dxfs count="0"/>
  <tableStyles count="0" defaultTableStyle="TableStyleMedium2" defaultPivotStyle="PivotStyleLight16"/>
  <colors>
    <mruColors>
      <color rgb="FF8FE993"/>
      <color rgb="FFACB9CA"/>
      <color rgb="FFDAC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11907</xdr:colOff>
      <xdr:row>2</xdr:row>
      <xdr:rowOff>11905</xdr:rowOff>
    </xdr:from>
    <xdr:to>
      <xdr:col>1</xdr:col>
      <xdr:colOff>17526</xdr:colOff>
      <xdr:row>24</xdr:row>
      <xdr:rowOff>83343</xdr:rowOff>
    </xdr:to>
    <xdr:pic>
      <xdr:nvPicPr>
        <xdr:cNvPr id="5" name="Picture 4">
          <a:extLst>
            <a:ext uri="{FF2B5EF4-FFF2-40B4-BE49-F238E27FC236}">
              <a16:creationId xmlns:a16="http://schemas.microsoft.com/office/drawing/2014/main" id="{584B8ACB-7EDB-796C-9F58-7CBCA6DC99C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07" y="428624"/>
          <a:ext cx="5661088" cy="426243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30E6-93F0-460F-99FF-9A1826821BFF}">
  <sheetPr>
    <tabColor rgb="FFDACBEF"/>
  </sheetPr>
  <dimension ref="A1:U272"/>
  <sheetViews>
    <sheetView tabSelected="1" zoomScale="80" zoomScaleNormal="80" workbookViewId="0">
      <selection activeCell="E26" sqref="E26"/>
    </sheetView>
  </sheetViews>
  <sheetFormatPr defaultRowHeight="14.25"/>
  <cols>
    <col min="1" max="1" width="84.875" customWidth="1"/>
  </cols>
  <sheetData>
    <row r="1" spans="1:21" ht="15.75">
      <c r="A1" s="60"/>
      <c r="B1" s="56"/>
      <c r="C1" s="56"/>
      <c r="D1" s="56"/>
      <c r="E1" s="56"/>
      <c r="F1" s="56"/>
      <c r="G1" s="56"/>
      <c r="H1" s="56"/>
      <c r="I1" s="56"/>
      <c r="J1" s="56"/>
      <c r="K1" s="56"/>
      <c r="L1" s="56"/>
      <c r="M1" s="56"/>
      <c r="N1" s="56"/>
      <c r="O1" s="56"/>
      <c r="P1" s="56"/>
      <c r="Q1" s="56"/>
      <c r="R1" s="56"/>
      <c r="S1" s="56"/>
      <c r="T1" s="56"/>
      <c r="U1" s="56"/>
    </row>
    <row r="2" spans="1:21" ht="16.5" customHeight="1" thickBot="1">
      <c r="A2" s="61" t="s">
        <v>442</v>
      </c>
      <c r="B2" s="56"/>
      <c r="C2" s="56"/>
      <c r="D2" s="56"/>
      <c r="E2" s="56"/>
      <c r="F2" s="56"/>
      <c r="G2" s="56"/>
      <c r="H2" s="56"/>
      <c r="I2" s="56"/>
      <c r="J2" s="56"/>
      <c r="K2" s="56"/>
      <c r="L2" s="56"/>
      <c r="M2" s="56"/>
      <c r="N2" s="56"/>
      <c r="O2" s="56"/>
      <c r="P2" s="56"/>
      <c r="Q2" s="56"/>
      <c r="R2" s="56"/>
      <c r="S2" s="56"/>
      <c r="T2" s="56"/>
      <c r="U2" s="56"/>
    </row>
    <row r="3" spans="1:21">
      <c r="B3" s="56"/>
      <c r="C3" s="56"/>
      <c r="D3" s="56"/>
      <c r="E3" s="56"/>
      <c r="F3" s="56"/>
      <c r="G3" s="56"/>
      <c r="H3" s="56"/>
      <c r="I3" s="56"/>
      <c r="J3" s="56"/>
      <c r="K3" s="56"/>
      <c r="L3" s="56"/>
      <c r="M3" s="56"/>
      <c r="N3" s="56"/>
      <c r="O3" s="56"/>
      <c r="P3" s="56"/>
      <c r="Q3" s="56"/>
      <c r="R3" s="56"/>
      <c r="S3" s="56"/>
      <c r="T3" s="56"/>
      <c r="U3" s="56"/>
    </row>
    <row r="4" spans="1:21">
      <c r="A4" s="24"/>
      <c r="B4" s="56"/>
      <c r="C4" s="56"/>
      <c r="D4" s="56"/>
      <c r="E4" s="56"/>
      <c r="F4" s="56"/>
      <c r="G4" s="56"/>
      <c r="H4" s="56"/>
      <c r="I4" s="56"/>
      <c r="J4" s="56"/>
      <c r="K4" s="56"/>
      <c r="L4" s="56"/>
      <c r="M4" s="56"/>
      <c r="N4" s="56"/>
      <c r="O4" s="56"/>
      <c r="P4" s="56"/>
      <c r="Q4" s="56"/>
      <c r="R4" s="56"/>
      <c r="S4" s="56"/>
      <c r="T4" s="56"/>
      <c r="U4" s="56"/>
    </row>
    <row r="5" spans="1:21">
      <c r="A5" s="24"/>
      <c r="B5" s="56"/>
      <c r="C5" s="56"/>
      <c r="D5" s="56"/>
      <c r="E5" s="56"/>
      <c r="F5" s="56"/>
      <c r="G5" s="56"/>
      <c r="H5" s="56"/>
      <c r="I5" s="56"/>
      <c r="J5" s="56"/>
      <c r="K5" s="56"/>
      <c r="L5" s="56"/>
      <c r="M5" s="56"/>
      <c r="N5" s="56"/>
      <c r="O5" s="56"/>
      <c r="P5" s="56"/>
      <c r="Q5" s="56"/>
      <c r="R5" s="56"/>
      <c r="S5" s="56"/>
      <c r="T5" s="56"/>
      <c r="U5" s="56"/>
    </row>
    <row r="6" spans="1:21">
      <c r="A6" s="24"/>
      <c r="B6" s="56"/>
      <c r="C6" s="56"/>
      <c r="D6" s="56"/>
      <c r="E6" s="56"/>
      <c r="F6" s="56"/>
      <c r="G6" s="56"/>
      <c r="H6" s="56"/>
      <c r="I6" s="56"/>
      <c r="J6" s="56"/>
      <c r="K6" s="56"/>
      <c r="L6" s="56"/>
      <c r="M6" s="56"/>
      <c r="N6" s="56"/>
      <c r="O6" s="56"/>
      <c r="P6" s="56"/>
      <c r="Q6" s="56"/>
      <c r="R6" s="56"/>
      <c r="S6" s="56"/>
      <c r="T6" s="56"/>
      <c r="U6" s="56"/>
    </row>
    <row r="7" spans="1:21">
      <c r="A7" s="24"/>
      <c r="B7" s="56"/>
      <c r="C7" s="56"/>
      <c r="D7" s="56"/>
      <c r="E7" s="56"/>
      <c r="F7" s="56"/>
      <c r="G7" s="56"/>
      <c r="H7" s="56"/>
      <c r="I7" s="56"/>
      <c r="J7" s="56"/>
      <c r="K7" s="56"/>
      <c r="L7" s="56"/>
      <c r="M7" s="56"/>
      <c r="N7" s="56"/>
      <c r="O7" s="56"/>
      <c r="P7" s="56"/>
      <c r="Q7" s="56"/>
      <c r="R7" s="56"/>
      <c r="S7" s="56"/>
      <c r="T7" s="56"/>
      <c r="U7" s="56"/>
    </row>
    <row r="8" spans="1:21">
      <c r="A8" s="24"/>
      <c r="B8" s="56"/>
      <c r="C8" s="56"/>
      <c r="D8" s="56"/>
      <c r="E8" s="56"/>
      <c r="F8" s="56"/>
      <c r="G8" s="56"/>
      <c r="H8" s="56"/>
      <c r="I8" s="56"/>
      <c r="J8" s="56"/>
      <c r="K8" s="56"/>
      <c r="L8" s="56"/>
      <c r="M8" s="56"/>
      <c r="N8" s="56"/>
      <c r="O8" s="56"/>
      <c r="P8" s="56"/>
      <c r="Q8" s="56"/>
      <c r="R8" s="56"/>
      <c r="S8" s="56"/>
      <c r="T8" s="56"/>
      <c r="U8" s="56"/>
    </row>
    <row r="9" spans="1:21">
      <c r="A9" s="24"/>
      <c r="B9" s="56"/>
      <c r="C9" s="56"/>
      <c r="D9" s="56"/>
      <c r="E9" s="56"/>
      <c r="F9" s="56"/>
      <c r="G9" s="56"/>
      <c r="H9" s="56"/>
      <c r="I9" s="56"/>
      <c r="J9" s="56"/>
      <c r="K9" s="56"/>
      <c r="L9" s="56"/>
      <c r="M9" s="56"/>
      <c r="N9" s="56"/>
      <c r="O9" s="56"/>
      <c r="P9" s="56"/>
      <c r="Q9" s="56"/>
      <c r="R9" s="56"/>
      <c r="S9" s="56"/>
      <c r="T9" s="56"/>
      <c r="U9" s="56"/>
    </row>
    <row r="10" spans="1:21">
      <c r="A10" s="24"/>
      <c r="B10" s="56"/>
      <c r="C10" s="56"/>
      <c r="D10" s="56"/>
      <c r="E10" s="56"/>
      <c r="F10" s="56"/>
      <c r="G10" s="56"/>
      <c r="H10" s="56"/>
      <c r="I10" s="56"/>
      <c r="J10" s="56"/>
      <c r="K10" s="56"/>
      <c r="L10" s="56"/>
      <c r="M10" s="56"/>
      <c r="N10" s="56"/>
      <c r="O10" s="56"/>
      <c r="P10" s="56"/>
      <c r="Q10" s="56"/>
      <c r="R10" s="56"/>
      <c r="S10" s="56"/>
      <c r="T10" s="56"/>
      <c r="U10" s="56"/>
    </row>
    <row r="11" spans="1:21">
      <c r="A11" s="24"/>
      <c r="B11" s="56"/>
      <c r="C11" s="56"/>
      <c r="D11" s="56"/>
      <c r="E11" s="56"/>
      <c r="F11" s="56"/>
      <c r="G11" s="56"/>
      <c r="H11" s="56"/>
      <c r="I11" s="56"/>
      <c r="J11" s="56"/>
      <c r="K11" s="56"/>
      <c r="L11" s="56"/>
      <c r="M11" s="56"/>
      <c r="N11" s="56"/>
      <c r="O11" s="56"/>
      <c r="P11" s="56"/>
      <c r="Q11" s="56"/>
      <c r="R11" s="56"/>
      <c r="S11" s="56"/>
      <c r="T11" s="56"/>
      <c r="U11" s="56"/>
    </row>
    <row r="12" spans="1:21">
      <c r="A12" s="24"/>
      <c r="B12" s="56"/>
      <c r="C12" s="56"/>
      <c r="D12" s="56"/>
      <c r="E12" s="56"/>
      <c r="F12" s="56"/>
      <c r="G12" s="56"/>
      <c r="H12" s="56"/>
      <c r="I12" s="56"/>
      <c r="J12" s="56"/>
      <c r="K12" s="56"/>
      <c r="L12" s="56"/>
      <c r="M12" s="56"/>
      <c r="N12" s="56"/>
      <c r="O12" s="56"/>
      <c r="P12" s="56"/>
      <c r="Q12" s="56"/>
      <c r="R12" s="56"/>
      <c r="S12" s="56"/>
      <c r="T12" s="56"/>
      <c r="U12" s="56"/>
    </row>
    <row r="13" spans="1:21">
      <c r="A13" s="24"/>
      <c r="B13" s="56"/>
      <c r="C13" s="56"/>
      <c r="D13" s="56"/>
      <c r="E13" s="56"/>
      <c r="F13" s="56"/>
      <c r="G13" s="56"/>
      <c r="H13" s="56"/>
      <c r="I13" s="56"/>
      <c r="J13" s="56"/>
      <c r="K13" s="56"/>
      <c r="L13" s="56"/>
      <c r="M13" s="56"/>
      <c r="N13" s="56"/>
      <c r="O13" s="56"/>
      <c r="P13" s="56"/>
      <c r="Q13" s="56"/>
      <c r="R13" s="56"/>
      <c r="S13" s="56"/>
      <c r="T13" s="56"/>
      <c r="U13" s="56"/>
    </row>
    <row r="14" spans="1:21">
      <c r="A14" s="24"/>
      <c r="B14" s="56"/>
      <c r="C14" s="56"/>
      <c r="D14" s="56"/>
      <c r="E14" s="56"/>
      <c r="F14" s="56"/>
      <c r="G14" s="56"/>
      <c r="H14" s="56"/>
      <c r="I14" s="56"/>
      <c r="J14" s="56"/>
      <c r="K14" s="56"/>
      <c r="L14" s="56"/>
      <c r="M14" s="56"/>
      <c r="N14" s="56"/>
      <c r="O14" s="56"/>
      <c r="P14" s="56"/>
      <c r="Q14" s="56"/>
      <c r="R14" s="56"/>
      <c r="S14" s="56"/>
      <c r="T14" s="56"/>
      <c r="U14" s="56"/>
    </row>
    <row r="15" spans="1:21">
      <c r="A15" s="24"/>
      <c r="B15" s="56"/>
      <c r="C15" s="56"/>
      <c r="D15" s="56"/>
      <c r="E15" s="56"/>
      <c r="F15" s="56"/>
      <c r="G15" s="56"/>
      <c r="H15" s="56"/>
      <c r="I15" s="56"/>
      <c r="J15" s="56"/>
      <c r="K15" s="56"/>
      <c r="L15" s="56"/>
      <c r="M15" s="56"/>
      <c r="N15" s="56"/>
      <c r="O15" s="56"/>
      <c r="P15" s="56"/>
      <c r="Q15" s="56"/>
      <c r="R15" s="56"/>
      <c r="S15" s="56"/>
      <c r="T15" s="56"/>
      <c r="U15" s="56"/>
    </row>
    <row r="16" spans="1:21">
      <c r="A16" s="24"/>
      <c r="B16" s="56"/>
      <c r="C16" s="56"/>
      <c r="D16" s="56"/>
      <c r="E16" s="56"/>
      <c r="F16" s="56"/>
      <c r="G16" s="56"/>
      <c r="H16" s="56"/>
      <c r="I16" s="56"/>
      <c r="J16" s="56"/>
      <c r="K16" s="56"/>
      <c r="L16" s="56"/>
      <c r="M16" s="56"/>
      <c r="N16" s="56"/>
      <c r="O16" s="56"/>
      <c r="P16" s="56"/>
      <c r="Q16" s="56"/>
      <c r="R16" s="56"/>
      <c r="S16" s="56"/>
      <c r="T16" s="56"/>
      <c r="U16" s="56"/>
    </row>
    <row r="17" spans="1:21">
      <c r="A17" s="24"/>
      <c r="B17" s="56"/>
      <c r="C17" s="56"/>
      <c r="D17" s="56"/>
      <c r="E17" s="56"/>
      <c r="F17" s="56"/>
      <c r="G17" s="56"/>
      <c r="H17" s="56"/>
      <c r="I17" s="56"/>
      <c r="J17" s="56"/>
      <c r="K17" s="56"/>
      <c r="L17" s="56"/>
      <c r="M17" s="56"/>
      <c r="N17" s="56"/>
      <c r="O17" s="56"/>
      <c r="P17" s="56"/>
      <c r="Q17" s="56"/>
      <c r="R17" s="56"/>
      <c r="S17" s="56"/>
      <c r="T17" s="56"/>
      <c r="U17" s="56"/>
    </row>
    <row r="18" spans="1:21">
      <c r="A18" s="24"/>
      <c r="B18" s="56"/>
      <c r="C18" s="56"/>
      <c r="D18" s="56"/>
      <c r="E18" s="56"/>
      <c r="F18" s="56"/>
      <c r="G18" s="56"/>
      <c r="H18" s="56"/>
      <c r="I18" s="56"/>
      <c r="J18" s="56"/>
      <c r="K18" s="56"/>
      <c r="L18" s="56"/>
      <c r="M18" s="56"/>
      <c r="N18" s="56"/>
      <c r="O18" s="56"/>
      <c r="P18" s="56"/>
      <c r="Q18" s="56"/>
      <c r="R18" s="56"/>
      <c r="S18" s="56"/>
      <c r="T18" s="56"/>
      <c r="U18" s="56"/>
    </row>
    <row r="19" spans="1:21">
      <c r="A19" s="24"/>
      <c r="B19" s="56"/>
      <c r="C19" s="56"/>
      <c r="D19" s="56"/>
      <c r="E19" s="56"/>
      <c r="F19" s="56"/>
      <c r="G19" s="56"/>
      <c r="H19" s="56"/>
      <c r="I19" s="56"/>
      <c r="J19" s="56"/>
      <c r="K19" s="56"/>
      <c r="L19" s="56"/>
      <c r="M19" s="56"/>
      <c r="N19" s="56"/>
      <c r="O19" s="56"/>
      <c r="P19" s="56"/>
      <c r="Q19" s="56"/>
      <c r="R19" s="56"/>
      <c r="S19" s="56"/>
      <c r="T19" s="56"/>
      <c r="U19" s="56"/>
    </row>
    <row r="20" spans="1:21">
      <c r="A20" s="24"/>
      <c r="B20" s="56"/>
      <c r="C20" s="56"/>
      <c r="D20" s="56"/>
      <c r="E20" s="56"/>
      <c r="F20" s="56"/>
      <c r="G20" s="56"/>
      <c r="H20" s="56"/>
      <c r="I20" s="56"/>
      <c r="J20" s="56"/>
      <c r="K20" s="56"/>
      <c r="L20" s="56"/>
      <c r="M20" s="56"/>
      <c r="N20" s="56"/>
      <c r="O20" s="56"/>
      <c r="P20" s="56"/>
      <c r="Q20" s="56"/>
      <c r="R20" s="56"/>
      <c r="S20" s="56"/>
      <c r="T20" s="56"/>
      <c r="U20" s="56"/>
    </row>
    <row r="21" spans="1:21">
      <c r="A21" s="24"/>
      <c r="B21" s="56"/>
      <c r="C21" s="56"/>
      <c r="D21" s="56"/>
      <c r="E21" s="56"/>
      <c r="F21" s="56"/>
      <c r="G21" s="56"/>
      <c r="H21" s="56"/>
      <c r="I21" s="56"/>
      <c r="J21" s="56"/>
      <c r="K21" s="56"/>
      <c r="L21" s="56"/>
      <c r="M21" s="56"/>
      <c r="N21" s="56"/>
      <c r="O21" s="56"/>
      <c r="P21" s="56"/>
      <c r="Q21" s="56"/>
      <c r="R21" s="56"/>
      <c r="S21" s="56"/>
      <c r="T21" s="56"/>
      <c r="U21" s="56"/>
    </row>
    <row r="22" spans="1:21">
      <c r="A22" s="24"/>
      <c r="B22" s="56"/>
      <c r="C22" s="56"/>
      <c r="D22" s="56"/>
      <c r="E22" s="56"/>
      <c r="F22" s="56"/>
      <c r="G22" s="56"/>
      <c r="H22" s="56"/>
      <c r="I22" s="56"/>
      <c r="J22" s="56"/>
      <c r="K22" s="56"/>
      <c r="L22" s="56"/>
      <c r="M22" s="56"/>
      <c r="N22" s="56"/>
      <c r="O22" s="56"/>
      <c r="P22" s="56"/>
      <c r="Q22" s="56"/>
      <c r="R22" s="56"/>
      <c r="S22" s="56"/>
      <c r="T22" s="56"/>
      <c r="U22" s="56"/>
    </row>
    <row r="23" spans="1:21">
      <c r="A23" s="24"/>
      <c r="B23" s="56"/>
      <c r="C23" s="56"/>
      <c r="D23" s="56"/>
      <c r="E23" s="56"/>
      <c r="F23" s="56"/>
      <c r="G23" s="56"/>
      <c r="H23" s="56"/>
      <c r="I23" s="56"/>
      <c r="J23" s="56"/>
      <c r="K23" s="56"/>
      <c r="L23" s="56"/>
      <c r="M23" s="56"/>
      <c r="N23" s="56"/>
      <c r="O23" s="56"/>
      <c r="P23" s="56"/>
      <c r="Q23" s="56"/>
      <c r="R23" s="56"/>
      <c r="S23" s="56"/>
      <c r="T23" s="56"/>
      <c r="U23" s="56"/>
    </row>
    <row r="24" spans="1:21">
      <c r="B24" s="57"/>
      <c r="C24" s="56"/>
      <c r="D24" s="56"/>
      <c r="E24" s="56"/>
      <c r="F24" s="56"/>
      <c r="G24" s="56"/>
      <c r="H24" s="56"/>
      <c r="I24" s="56"/>
      <c r="J24" s="56"/>
      <c r="K24" s="56"/>
      <c r="L24" s="56"/>
      <c r="M24" s="56"/>
      <c r="N24" s="56"/>
      <c r="O24" s="56"/>
      <c r="P24" s="56"/>
      <c r="Q24" s="56"/>
      <c r="R24" s="56"/>
      <c r="S24" s="56"/>
      <c r="T24" s="56"/>
      <c r="U24" s="56"/>
    </row>
    <row r="25" spans="1:21">
      <c r="A25" s="56"/>
      <c r="B25" s="56"/>
      <c r="C25" s="56"/>
      <c r="D25" s="56"/>
      <c r="E25" s="56"/>
      <c r="F25" s="56"/>
      <c r="G25" s="56"/>
      <c r="H25" s="56"/>
      <c r="I25" s="56"/>
      <c r="J25" s="56"/>
      <c r="K25" s="56"/>
      <c r="L25" s="56"/>
      <c r="M25" s="56"/>
      <c r="N25" s="56"/>
      <c r="O25" s="56"/>
      <c r="P25" s="56"/>
      <c r="Q25" s="56"/>
      <c r="R25" s="56"/>
      <c r="S25" s="56"/>
      <c r="T25" s="56"/>
      <c r="U25" s="56"/>
    </row>
    <row r="26" spans="1:21" ht="15">
      <c r="A26" s="59" t="s">
        <v>239</v>
      </c>
      <c r="B26" s="56"/>
      <c r="C26" s="56"/>
      <c r="D26" s="56"/>
      <c r="E26" s="56"/>
      <c r="F26" s="56"/>
      <c r="G26" s="56"/>
      <c r="H26" s="56"/>
      <c r="I26" s="56"/>
      <c r="J26" s="56"/>
      <c r="K26" s="56"/>
      <c r="L26" s="56"/>
      <c r="M26" s="56"/>
      <c r="N26" s="56"/>
      <c r="O26" s="56"/>
      <c r="P26" s="56"/>
      <c r="Q26" s="56"/>
      <c r="R26" s="56"/>
      <c r="S26" s="56"/>
      <c r="T26" s="56"/>
      <c r="U26" s="56"/>
    </row>
    <row r="27" spans="1:21" ht="45">
      <c r="A27" s="58" t="s">
        <v>423</v>
      </c>
      <c r="B27" s="58"/>
      <c r="C27" s="56"/>
      <c r="D27" s="56"/>
      <c r="E27" s="56"/>
      <c r="F27" s="56"/>
      <c r="G27" s="56"/>
      <c r="H27" s="56"/>
      <c r="I27" s="56"/>
      <c r="J27" s="56"/>
      <c r="K27" s="56"/>
      <c r="L27" s="56"/>
      <c r="M27" s="56"/>
      <c r="N27" s="56"/>
      <c r="O27" s="56"/>
      <c r="P27" s="56"/>
      <c r="Q27" s="56"/>
      <c r="R27" s="56"/>
      <c r="S27" s="56"/>
      <c r="T27" s="56"/>
      <c r="U27" s="56"/>
    </row>
    <row r="28" spans="1:21" ht="15">
      <c r="A28" s="59" t="s">
        <v>240</v>
      </c>
      <c r="B28" s="25"/>
      <c r="C28" s="56"/>
      <c r="D28" s="56"/>
      <c r="E28" s="56"/>
      <c r="F28" s="56"/>
      <c r="G28" s="56"/>
      <c r="H28" s="56"/>
      <c r="I28" s="56"/>
      <c r="J28" s="56"/>
      <c r="K28" s="56"/>
      <c r="L28" s="56"/>
      <c r="M28" s="56"/>
      <c r="N28" s="56"/>
      <c r="O28" s="56"/>
      <c r="P28" s="56"/>
      <c r="Q28" s="56"/>
      <c r="R28" s="56"/>
      <c r="S28" s="56"/>
      <c r="T28" s="56"/>
      <c r="U28" s="56"/>
    </row>
    <row r="29" spans="1:21" ht="52.5" customHeight="1">
      <c r="A29" s="58" t="s">
        <v>241</v>
      </c>
      <c r="B29" s="58"/>
      <c r="C29" s="56"/>
      <c r="D29" s="56"/>
      <c r="E29" s="56"/>
      <c r="F29" s="56"/>
      <c r="G29" s="56"/>
      <c r="H29" s="56"/>
      <c r="I29" s="56"/>
    </row>
    <row r="30" spans="1:21">
      <c r="A30" s="56"/>
      <c r="B30" s="56"/>
      <c r="C30" s="56"/>
      <c r="D30" s="56"/>
      <c r="E30" s="56"/>
      <c r="F30" s="56"/>
      <c r="G30" s="56"/>
      <c r="H30" s="56"/>
      <c r="I30" s="56"/>
      <c r="J30" s="56"/>
    </row>
    <row r="31" spans="1:21">
      <c r="A31" s="56"/>
      <c r="B31" s="56"/>
      <c r="C31" s="56"/>
      <c r="D31" s="56"/>
      <c r="E31" s="56"/>
      <c r="F31" s="56"/>
      <c r="G31" s="56"/>
      <c r="H31" s="56"/>
      <c r="I31" s="56"/>
      <c r="J31" s="56"/>
    </row>
    <row r="32" spans="1:21">
      <c r="A32" s="56"/>
      <c r="B32" s="56"/>
      <c r="C32" s="56"/>
      <c r="D32" s="56"/>
      <c r="E32" s="56"/>
      <c r="F32" s="56"/>
      <c r="G32" s="56"/>
      <c r="H32" s="56"/>
      <c r="I32" s="56"/>
      <c r="J32" s="56"/>
    </row>
    <row r="33" spans="1:10">
      <c r="A33" s="56"/>
      <c r="B33" s="56"/>
      <c r="C33" s="56"/>
      <c r="D33" s="56"/>
      <c r="E33" s="56"/>
      <c r="F33" s="56"/>
      <c r="G33" s="56"/>
      <c r="H33" s="56"/>
      <c r="I33" s="56"/>
      <c r="J33" s="56"/>
    </row>
    <row r="34" spans="1:10">
      <c r="A34" s="56"/>
      <c r="B34" s="56"/>
      <c r="C34" s="56"/>
      <c r="D34" s="56"/>
      <c r="E34" s="56"/>
      <c r="F34" s="56"/>
      <c r="G34" s="56"/>
      <c r="H34" s="56"/>
      <c r="I34" s="56"/>
      <c r="J34" s="56"/>
    </row>
    <row r="35" spans="1:10">
      <c r="A35" s="56"/>
      <c r="B35" s="56"/>
      <c r="C35" s="56"/>
      <c r="D35" s="56"/>
      <c r="E35" s="56"/>
      <c r="F35" s="56"/>
      <c r="G35" s="56"/>
      <c r="H35" s="56"/>
      <c r="I35" s="56"/>
      <c r="J35" s="56"/>
    </row>
    <row r="36" spans="1:10">
      <c r="A36" s="56"/>
      <c r="B36" s="56"/>
      <c r="C36" s="56"/>
      <c r="D36" s="56"/>
      <c r="E36" s="56"/>
      <c r="F36" s="56"/>
      <c r="G36" s="56"/>
      <c r="H36" s="56"/>
      <c r="I36" s="56"/>
      <c r="J36" s="56"/>
    </row>
    <row r="37" spans="1:10">
      <c r="A37" s="56"/>
      <c r="B37" s="56"/>
      <c r="C37" s="56"/>
      <c r="D37" s="56"/>
      <c r="E37" s="56"/>
      <c r="F37" s="56"/>
      <c r="G37" s="56"/>
      <c r="H37" s="56"/>
      <c r="I37" s="56"/>
      <c r="J37" s="56"/>
    </row>
    <row r="38" spans="1:10">
      <c r="A38" s="56"/>
      <c r="B38" s="56"/>
      <c r="C38" s="56"/>
      <c r="D38" s="56"/>
      <c r="E38" s="56"/>
      <c r="F38" s="56"/>
      <c r="G38" s="56"/>
      <c r="H38" s="56"/>
      <c r="I38" s="56"/>
      <c r="J38" s="56"/>
    </row>
    <row r="39" spans="1:10">
      <c r="A39" s="56"/>
      <c r="B39" s="56"/>
      <c r="C39" s="56"/>
      <c r="D39" s="56"/>
      <c r="E39" s="56"/>
      <c r="F39" s="56"/>
      <c r="G39" s="56"/>
      <c r="H39" s="56"/>
      <c r="I39" s="56"/>
      <c r="J39" s="56"/>
    </row>
    <row r="40" spans="1:10">
      <c r="A40" s="56"/>
      <c r="B40" s="56"/>
      <c r="C40" s="56"/>
      <c r="D40" s="56"/>
      <c r="E40" s="56"/>
      <c r="F40" s="56"/>
      <c r="G40" s="56"/>
      <c r="H40" s="56"/>
      <c r="I40" s="56"/>
      <c r="J40" s="56"/>
    </row>
    <row r="41" spans="1:10">
      <c r="A41" s="56"/>
      <c r="B41" s="56"/>
      <c r="C41" s="56"/>
      <c r="D41" s="56"/>
      <c r="E41" s="56"/>
      <c r="F41" s="56"/>
      <c r="G41" s="56"/>
      <c r="H41" s="56"/>
      <c r="I41" s="56"/>
      <c r="J41" s="56"/>
    </row>
    <row r="42" spans="1:10">
      <c r="A42" s="56"/>
      <c r="B42" s="56"/>
      <c r="C42" s="56"/>
      <c r="D42" s="56"/>
      <c r="E42" s="56"/>
      <c r="F42" s="56"/>
      <c r="G42" s="56"/>
      <c r="H42" s="56"/>
      <c r="I42" s="56"/>
      <c r="J42" s="56"/>
    </row>
    <row r="43" spans="1:10">
      <c r="A43" s="56"/>
      <c r="B43" s="56"/>
      <c r="C43" s="56"/>
      <c r="D43" s="56"/>
      <c r="E43" s="56"/>
      <c r="F43" s="56"/>
      <c r="G43" s="56"/>
      <c r="H43" s="56"/>
      <c r="I43" s="56"/>
      <c r="J43" s="56"/>
    </row>
    <row r="44" spans="1:10">
      <c r="A44" s="56"/>
      <c r="B44" s="56"/>
      <c r="C44" s="56"/>
      <c r="D44" s="56"/>
      <c r="E44" s="56"/>
      <c r="F44" s="56"/>
      <c r="G44" s="56"/>
      <c r="H44" s="56"/>
      <c r="I44" s="56"/>
      <c r="J44" s="56"/>
    </row>
    <row r="45" spans="1:10">
      <c r="A45" s="56"/>
      <c r="B45" s="56"/>
      <c r="C45" s="56"/>
      <c r="D45" s="56"/>
      <c r="E45" s="56"/>
      <c r="F45" s="56"/>
      <c r="G45" s="56"/>
      <c r="H45" s="56"/>
      <c r="I45" s="56"/>
      <c r="J45" s="56"/>
    </row>
    <row r="46" spans="1:10">
      <c r="A46" s="56"/>
      <c r="B46" s="56"/>
      <c r="C46" s="56"/>
      <c r="D46" s="56"/>
      <c r="E46" s="56"/>
      <c r="F46" s="56"/>
      <c r="G46" s="56"/>
      <c r="H46" s="56"/>
      <c r="I46" s="56"/>
      <c r="J46" s="56"/>
    </row>
    <row r="47" spans="1:10">
      <c r="A47" s="56"/>
      <c r="B47" s="56"/>
      <c r="C47" s="56"/>
      <c r="D47" s="56"/>
      <c r="E47" s="56"/>
      <c r="F47" s="56"/>
      <c r="G47" s="56"/>
      <c r="H47" s="56"/>
      <c r="I47" s="56"/>
      <c r="J47" s="56"/>
    </row>
    <row r="48" spans="1:10">
      <c r="A48" s="56"/>
      <c r="B48" s="56"/>
      <c r="C48" s="56"/>
      <c r="D48" s="56"/>
      <c r="E48" s="56"/>
      <c r="F48" s="56"/>
      <c r="G48" s="56"/>
      <c r="H48" s="56"/>
      <c r="I48" s="56"/>
      <c r="J48" s="56"/>
    </row>
    <row r="49" spans="1:10">
      <c r="A49" s="56"/>
      <c r="B49" s="56"/>
      <c r="C49" s="56"/>
      <c r="D49" s="56"/>
      <c r="E49" s="56"/>
      <c r="F49" s="56"/>
      <c r="G49" s="56"/>
      <c r="H49" s="56"/>
      <c r="I49" s="56"/>
      <c r="J49" s="56"/>
    </row>
    <row r="50" spans="1:10">
      <c r="A50" s="56"/>
      <c r="B50" s="56"/>
      <c r="C50" s="56"/>
      <c r="D50" s="56"/>
      <c r="E50" s="56"/>
      <c r="F50" s="56"/>
      <c r="G50" s="56"/>
      <c r="H50" s="56"/>
      <c r="I50" s="56"/>
      <c r="J50" s="56"/>
    </row>
    <row r="51" spans="1:10">
      <c r="A51" s="56"/>
      <c r="B51" s="56"/>
      <c r="C51" s="56"/>
      <c r="D51" s="56"/>
      <c r="E51" s="56"/>
      <c r="F51" s="56"/>
      <c r="G51" s="56"/>
      <c r="H51" s="56"/>
      <c r="I51" s="56"/>
      <c r="J51" s="56"/>
    </row>
    <row r="52" spans="1:10">
      <c r="A52" s="56"/>
      <c r="B52" s="56"/>
      <c r="C52" s="56"/>
      <c r="D52" s="56"/>
      <c r="E52" s="56"/>
      <c r="F52" s="56"/>
      <c r="G52" s="56"/>
      <c r="H52" s="56"/>
      <c r="I52" s="56"/>
      <c r="J52" s="56"/>
    </row>
    <row r="53" spans="1:10">
      <c r="A53" s="56"/>
      <c r="B53" s="56"/>
      <c r="C53" s="56"/>
      <c r="D53" s="56"/>
      <c r="E53" s="56"/>
      <c r="F53" s="56"/>
      <c r="G53" s="56"/>
      <c r="H53" s="56"/>
      <c r="I53" s="56"/>
      <c r="J53" s="56"/>
    </row>
    <row r="54" spans="1:10">
      <c r="A54" s="56"/>
      <c r="B54" s="56"/>
      <c r="C54" s="56"/>
      <c r="D54" s="56"/>
      <c r="E54" s="56"/>
      <c r="F54" s="56"/>
      <c r="G54" s="56"/>
      <c r="H54" s="56"/>
      <c r="I54" s="56"/>
      <c r="J54" s="56"/>
    </row>
    <row r="55" spans="1:10">
      <c r="A55" s="56"/>
      <c r="B55" s="56"/>
      <c r="C55" s="56"/>
      <c r="D55" s="56"/>
      <c r="E55" s="56"/>
      <c r="F55" s="56"/>
      <c r="G55" s="56"/>
      <c r="H55" s="56"/>
      <c r="I55" s="56"/>
      <c r="J55" s="56"/>
    </row>
    <row r="56" spans="1:10">
      <c r="A56" s="56"/>
      <c r="B56" s="56"/>
      <c r="C56" s="56"/>
      <c r="D56" s="56"/>
      <c r="E56" s="56"/>
      <c r="F56" s="56"/>
      <c r="G56" s="56"/>
      <c r="H56" s="56"/>
      <c r="I56" s="56"/>
      <c r="J56" s="56"/>
    </row>
    <row r="57" spans="1:10">
      <c r="A57" s="56"/>
      <c r="B57" s="56"/>
      <c r="C57" s="56"/>
      <c r="D57" s="56"/>
      <c r="E57" s="56"/>
      <c r="F57" s="56"/>
      <c r="G57" s="56"/>
      <c r="H57" s="56"/>
      <c r="I57" s="56"/>
      <c r="J57" s="56"/>
    </row>
    <row r="58" spans="1:10">
      <c r="A58" s="56"/>
      <c r="B58" s="56"/>
      <c r="C58" s="56"/>
      <c r="D58" s="56"/>
      <c r="E58" s="56"/>
      <c r="F58" s="56"/>
      <c r="G58" s="56"/>
      <c r="H58" s="56"/>
      <c r="I58" s="56"/>
      <c r="J58" s="56"/>
    </row>
    <row r="59" spans="1:10">
      <c r="A59" s="56"/>
      <c r="B59" s="56"/>
      <c r="C59" s="56"/>
      <c r="D59" s="56"/>
      <c r="E59" s="56"/>
      <c r="F59" s="56"/>
      <c r="G59" s="56"/>
      <c r="H59" s="56"/>
      <c r="I59" s="56"/>
      <c r="J59" s="56"/>
    </row>
    <row r="60" spans="1:10">
      <c r="A60" s="56"/>
      <c r="B60" s="56"/>
      <c r="C60" s="56"/>
      <c r="D60" s="56"/>
      <c r="E60" s="56"/>
      <c r="F60" s="56"/>
      <c r="G60" s="56"/>
      <c r="H60" s="56"/>
      <c r="I60" s="56"/>
      <c r="J60" s="56"/>
    </row>
    <row r="61" spans="1:10">
      <c r="A61" s="56"/>
      <c r="B61" s="56"/>
      <c r="C61" s="56"/>
      <c r="D61" s="56"/>
      <c r="E61" s="56"/>
      <c r="F61" s="56"/>
      <c r="G61" s="56"/>
      <c r="H61" s="56"/>
      <c r="I61" s="56"/>
      <c r="J61" s="56"/>
    </row>
    <row r="62" spans="1:10">
      <c r="A62" s="56"/>
      <c r="B62" s="56"/>
      <c r="C62" s="56"/>
      <c r="D62" s="56"/>
      <c r="E62" s="56"/>
      <c r="F62" s="56"/>
      <c r="G62" s="56"/>
      <c r="H62" s="56"/>
      <c r="I62" s="56"/>
      <c r="J62" s="56"/>
    </row>
    <row r="63" spans="1:10">
      <c r="A63" s="56"/>
      <c r="B63" s="56"/>
      <c r="C63" s="56"/>
      <c r="D63" s="56"/>
      <c r="E63" s="56"/>
      <c r="F63" s="56"/>
      <c r="G63" s="56"/>
      <c r="H63" s="56"/>
      <c r="I63" s="56"/>
      <c r="J63" s="56"/>
    </row>
    <row r="64" spans="1:10">
      <c r="A64" s="56"/>
      <c r="B64" s="56"/>
      <c r="C64" s="56"/>
      <c r="D64" s="56"/>
      <c r="E64" s="56"/>
      <c r="F64" s="56"/>
      <c r="G64" s="56"/>
      <c r="H64" s="56"/>
      <c r="I64" s="56"/>
      <c r="J64" s="56"/>
    </row>
    <row r="65" spans="1:10">
      <c r="A65" s="56"/>
      <c r="B65" s="56"/>
      <c r="C65" s="56"/>
      <c r="D65" s="56"/>
      <c r="E65" s="56"/>
      <c r="F65" s="56"/>
      <c r="G65" s="56"/>
      <c r="H65" s="56"/>
      <c r="I65" s="56"/>
      <c r="J65" s="56"/>
    </row>
    <row r="66" spans="1:10">
      <c r="A66" s="56"/>
      <c r="B66" s="56"/>
      <c r="C66" s="56"/>
      <c r="D66" s="56"/>
      <c r="E66" s="56"/>
      <c r="F66" s="56"/>
      <c r="G66" s="56"/>
      <c r="H66" s="56"/>
      <c r="I66" s="56"/>
      <c r="J66" s="56"/>
    </row>
    <row r="67" spans="1:10">
      <c r="A67" s="56"/>
      <c r="B67" s="56"/>
      <c r="C67" s="56"/>
      <c r="D67" s="56"/>
      <c r="E67" s="56"/>
      <c r="F67" s="56"/>
      <c r="G67" s="56"/>
      <c r="H67" s="56"/>
      <c r="I67" s="56"/>
      <c r="J67" s="56"/>
    </row>
    <row r="68" spans="1:10">
      <c r="A68" s="56"/>
      <c r="B68" s="56"/>
      <c r="C68" s="56"/>
      <c r="D68" s="56"/>
      <c r="E68" s="56"/>
      <c r="F68" s="56"/>
      <c r="G68" s="56"/>
      <c r="H68" s="56"/>
      <c r="I68" s="56"/>
      <c r="J68" s="56"/>
    </row>
    <row r="69" spans="1:10">
      <c r="A69" s="56"/>
      <c r="B69" s="56"/>
      <c r="C69" s="56"/>
      <c r="D69" s="56"/>
      <c r="E69" s="56"/>
      <c r="F69" s="56"/>
      <c r="G69" s="56"/>
      <c r="H69" s="56"/>
      <c r="I69" s="56"/>
      <c r="J69" s="56"/>
    </row>
    <row r="70" spans="1:10">
      <c r="A70" s="56"/>
      <c r="B70" s="56"/>
      <c r="C70" s="56"/>
      <c r="D70" s="56"/>
      <c r="E70" s="56"/>
      <c r="F70" s="56"/>
      <c r="G70" s="56"/>
      <c r="H70" s="56"/>
      <c r="I70" s="56"/>
      <c r="J70" s="56"/>
    </row>
    <row r="71" spans="1:10">
      <c r="A71" s="56"/>
      <c r="B71" s="56"/>
      <c r="C71" s="56"/>
      <c r="D71" s="56"/>
      <c r="E71" s="56"/>
      <c r="F71" s="56"/>
      <c r="G71" s="56"/>
      <c r="H71" s="56"/>
      <c r="I71" s="56"/>
      <c r="J71" s="56"/>
    </row>
    <row r="72" spans="1:10">
      <c r="A72" s="56"/>
      <c r="B72" s="56"/>
      <c r="C72" s="56"/>
      <c r="D72" s="56"/>
      <c r="E72" s="56"/>
      <c r="F72" s="56"/>
      <c r="G72" s="56"/>
      <c r="H72" s="56"/>
      <c r="I72" s="56"/>
      <c r="J72" s="56"/>
    </row>
    <row r="73" spans="1:10">
      <c r="A73" s="56"/>
      <c r="B73" s="56"/>
      <c r="C73" s="56"/>
      <c r="D73" s="56"/>
      <c r="E73" s="56"/>
      <c r="F73" s="56"/>
      <c r="G73" s="56"/>
      <c r="H73" s="56"/>
      <c r="I73" s="56"/>
      <c r="J73" s="56"/>
    </row>
    <row r="74" spans="1:10">
      <c r="A74" s="56"/>
      <c r="B74" s="56"/>
      <c r="C74" s="56"/>
      <c r="D74" s="56"/>
      <c r="E74" s="56"/>
      <c r="F74" s="56"/>
      <c r="G74" s="56"/>
      <c r="H74" s="56"/>
      <c r="I74" s="56"/>
      <c r="J74" s="56"/>
    </row>
    <row r="75" spans="1:10">
      <c r="A75" s="56"/>
      <c r="B75" s="56"/>
      <c r="C75" s="56"/>
      <c r="D75" s="56"/>
      <c r="E75" s="56"/>
      <c r="F75" s="56"/>
      <c r="G75" s="56"/>
      <c r="H75" s="56"/>
      <c r="I75" s="56"/>
      <c r="J75" s="56"/>
    </row>
    <row r="76" spans="1:10">
      <c r="A76" s="56"/>
      <c r="B76" s="56"/>
      <c r="C76" s="56"/>
      <c r="D76" s="56"/>
      <c r="E76" s="56"/>
      <c r="F76" s="56"/>
      <c r="G76" s="56"/>
      <c r="H76" s="56"/>
      <c r="I76" s="56"/>
      <c r="J76" s="56"/>
    </row>
    <row r="77" spans="1:10">
      <c r="A77" s="56"/>
      <c r="B77" s="56"/>
      <c r="C77" s="56"/>
      <c r="D77" s="56"/>
      <c r="E77" s="56"/>
      <c r="F77" s="56"/>
      <c r="G77" s="56"/>
      <c r="H77" s="56"/>
      <c r="I77" s="56"/>
      <c r="J77" s="56"/>
    </row>
    <row r="78" spans="1:10">
      <c r="A78" s="56"/>
      <c r="B78" s="56"/>
      <c r="C78" s="56"/>
      <c r="D78" s="56"/>
      <c r="E78" s="56"/>
      <c r="F78" s="56"/>
      <c r="G78" s="56"/>
      <c r="H78" s="56"/>
      <c r="I78" s="56"/>
      <c r="J78" s="56"/>
    </row>
    <row r="79" spans="1:10">
      <c r="A79" s="56"/>
      <c r="B79" s="56"/>
      <c r="C79" s="56"/>
      <c r="D79" s="56"/>
      <c r="E79" s="56"/>
      <c r="F79" s="56"/>
      <c r="G79" s="56"/>
      <c r="H79" s="56"/>
      <c r="I79" s="56"/>
      <c r="J79" s="56"/>
    </row>
    <row r="80" spans="1:10">
      <c r="A80" s="56"/>
      <c r="B80" s="56"/>
      <c r="C80" s="56"/>
      <c r="D80" s="56"/>
      <c r="E80" s="56"/>
      <c r="F80" s="56"/>
      <c r="G80" s="56"/>
      <c r="H80" s="56"/>
      <c r="I80" s="56"/>
      <c r="J80" s="56"/>
    </row>
    <row r="81" spans="1:10">
      <c r="A81" s="56"/>
      <c r="B81" s="56"/>
      <c r="C81" s="56"/>
      <c r="D81" s="56"/>
      <c r="E81" s="56"/>
      <c r="F81" s="56"/>
      <c r="G81" s="56"/>
      <c r="H81" s="56"/>
      <c r="I81" s="56"/>
      <c r="J81" s="56"/>
    </row>
    <row r="82" spans="1:10">
      <c r="A82" s="56"/>
      <c r="B82" s="56"/>
      <c r="C82" s="56"/>
      <c r="D82" s="56"/>
      <c r="E82" s="56"/>
      <c r="F82" s="56"/>
      <c r="G82" s="56"/>
      <c r="H82" s="56"/>
      <c r="I82" s="56"/>
      <c r="J82" s="56"/>
    </row>
    <row r="83" spans="1:10">
      <c r="A83" s="56"/>
      <c r="B83" s="56"/>
      <c r="C83" s="56"/>
      <c r="D83" s="56"/>
      <c r="E83" s="56"/>
      <c r="F83" s="56"/>
      <c r="G83" s="56"/>
      <c r="H83" s="56"/>
      <c r="I83" s="56"/>
      <c r="J83" s="56"/>
    </row>
    <row r="84" spans="1:10">
      <c r="A84" s="56"/>
      <c r="B84" s="56"/>
      <c r="C84" s="56"/>
      <c r="D84" s="56"/>
      <c r="E84" s="56"/>
      <c r="F84" s="56"/>
      <c r="G84" s="56"/>
      <c r="H84" s="56"/>
      <c r="I84" s="56"/>
      <c r="J84" s="56"/>
    </row>
    <row r="85" spans="1:10">
      <c r="A85" s="56"/>
      <c r="B85" s="56"/>
      <c r="C85" s="56"/>
      <c r="D85" s="56"/>
      <c r="E85" s="56"/>
      <c r="F85" s="56"/>
      <c r="G85" s="56"/>
      <c r="H85" s="56"/>
      <c r="I85" s="56"/>
      <c r="J85" s="56"/>
    </row>
    <row r="86" spans="1:10">
      <c r="A86" s="56"/>
      <c r="B86" s="56"/>
      <c r="C86" s="56"/>
      <c r="D86" s="56"/>
      <c r="E86" s="56"/>
      <c r="F86" s="56"/>
      <c r="G86" s="56"/>
      <c r="H86" s="56"/>
      <c r="I86" s="56"/>
      <c r="J86" s="56"/>
    </row>
    <row r="87" spans="1:10">
      <c r="A87" s="56"/>
      <c r="B87" s="56"/>
      <c r="C87" s="56"/>
      <c r="D87" s="56"/>
      <c r="E87" s="56"/>
      <c r="F87" s="56"/>
      <c r="G87" s="56"/>
      <c r="H87" s="56"/>
      <c r="I87" s="56"/>
      <c r="J87" s="56"/>
    </row>
    <row r="88" spans="1:10">
      <c r="A88" s="56"/>
      <c r="B88" s="56"/>
      <c r="C88" s="56"/>
      <c r="D88" s="56"/>
      <c r="E88" s="56"/>
      <c r="F88" s="56"/>
      <c r="G88" s="56"/>
      <c r="H88" s="56"/>
      <c r="I88" s="56"/>
      <c r="J88" s="56"/>
    </row>
    <row r="89" spans="1:10">
      <c r="A89" s="56"/>
      <c r="B89" s="56"/>
      <c r="C89" s="56"/>
      <c r="D89" s="56"/>
      <c r="E89" s="56"/>
      <c r="F89" s="56"/>
      <c r="G89" s="56"/>
      <c r="H89" s="56"/>
      <c r="I89" s="56"/>
      <c r="J89" s="56"/>
    </row>
    <row r="90" spans="1:10">
      <c r="A90" s="56"/>
      <c r="B90" s="56"/>
      <c r="C90" s="56"/>
      <c r="D90" s="56"/>
      <c r="E90" s="56"/>
      <c r="F90" s="56"/>
      <c r="G90" s="56"/>
      <c r="H90" s="56"/>
      <c r="I90" s="56"/>
      <c r="J90" s="56"/>
    </row>
    <row r="91" spans="1:10">
      <c r="A91" s="56"/>
      <c r="B91" s="56"/>
      <c r="C91" s="56"/>
      <c r="D91" s="56"/>
      <c r="E91" s="56"/>
      <c r="F91" s="56"/>
      <c r="G91" s="56"/>
      <c r="H91" s="56"/>
      <c r="I91" s="56"/>
      <c r="J91" s="56"/>
    </row>
    <row r="92" spans="1:10">
      <c r="A92" s="56"/>
      <c r="B92" s="56"/>
      <c r="C92" s="56"/>
      <c r="D92" s="56"/>
      <c r="E92" s="56"/>
      <c r="F92" s="56"/>
      <c r="G92" s="56"/>
      <c r="H92" s="56"/>
      <c r="I92" s="56"/>
      <c r="J92" s="56"/>
    </row>
    <row r="93" spans="1:10">
      <c r="A93" s="56"/>
      <c r="B93" s="56"/>
      <c r="C93" s="56"/>
      <c r="D93" s="56"/>
      <c r="E93" s="56"/>
      <c r="F93" s="56"/>
      <c r="G93" s="56"/>
      <c r="H93" s="56"/>
      <c r="I93" s="56"/>
      <c r="J93" s="56"/>
    </row>
    <row r="94" spans="1:10">
      <c r="A94" s="56"/>
      <c r="B94" s="56"/>
      <c r="C94" s="56"/>
      <c r="D94" s="56"/>
      <c r="E94" s="56"/>
      <c r="F94" s="56"/>
      <c r="G94" s="56"/>
      <c r="H94" s="56"/>
      <c r="I94" s="56"/>
      <c r="J94" s="56"/>
    </row>
    <row r="95" spans="1:10">
      <c r="A95" s="56"/>
      <c r="B95" s="56"/>
      <c r="C95" s="56"/>
      <c r="D95" s="56"/>
      <c r="E95" s="56"/>
      <c r="F95" s="56"/>
      <c r="G95" s="56"/>
      <c r="H95" s="56"/>
      <c r="I95" s="56"/>
      <c r="J95" s="56"/>
    </row>
    <row r="96" spans="1:10">
      <c r="A96" s="56"/>
      <c r="B96" s="56"/>
      <c r="C96" s="56"/>
      <c r="D96" s="56"/>
      <c r="E96" s="56"/>
      <c r="F96" s="56"/>
      <c r="G96" s="56"/>
      <c r="H96" s="56"/>
      <c r="I96" s="56"/>
      <c r="J96" s="56"/>
    </row>
    <row r="97" spans="1:10">
      <c r="A97" s="56"/>
      <c r="B97" s="56"/>
      <c r="C97" s="56"/>
      <c r="D97" s="56"/>
      <c r="E97" s="56"/>
      <c r="F97" s="56"/>
      <c r="G97" s="56"/>
      <c r="H97" s="56"/>
      <c r="I97" s="56"/>
      <c r="J97" s="56"/>
    </row>
    <row r="98" spans="1:10">
      <c r="A98" s="56"/>
      <c r="B98" s="56"/>
      <c r="C98" s="56"/>
      <c r="D98" s="56"/>
      <c r="E98" s="56"/>
      <c r="F98" s="56"/>
      <c r="G98" s="56"/>
      <c r="H98" s="56"/>
      <c r="I98" s="56"/>
      <c r="J98" s="56"/>
    </row>
    <row r="99" spans="1:10">
      <c r="A99" s="56"/>
      <c r="B99" s="56"/>
      <c r="C99" s="56"/>
      <c r="D99" s="56"/>
      <c r="E99" s="56"/>
      <c r="F99" s="56"/>
      <c r="G99" s="56"/>
      <c r="H99" s="56"/>
      <c r="I99" s="56"/>
      <c r="J99" s="56"/>
    </row>
    <row r="100" spans="1:10">
      <c r="A100" s="56"/>
      <c r="B100" s="56"/>
      <c r="C100" s="56"/>
      <c r="D100" s="56"/>
      <c r="E100" s="56"/>
      <c r="F100" s="56"/>
      <c r="G100" s="56"/>
      <c r="H100" s="56"/>
      <c r="I100" s="56"/>
      <c r="J100" s="56"/>
    </row>
    <row r="101" spans="1:10">
      <c r="A101" s="56"/>
      <c r="B101" s="56"/>
      <c r="C101" s="56"/>
      <c r="D101" s="56"/>
      <c r="E101" s="56"/>
      <c r="F101" s="56"/>
      <c r="G101" s="56"/>
      <c r="H101" s="56"/>
      <c r="I101" s="56"/>
      <c r="J101" s="56"/>
    </row>
    <row r="102" spans="1:10">
      <c r="A102" s="56"/>
      <c r="B102" s="56"/>
      <c r="C102" s="56"/>
      <c r="D102" s="56"/>
      <c r="E102" s="56"/>
      <c r="F102" s="56"/>
      <c r="G102" s="56"/>
      <c r="H102" s="56"/>
      <c r="I102" s="56"/>
      <c r="J102" s="56"/>
    </row>
    <row r="103" spans="1:10">
      <c r="A103" s="56"/>
      <c r="B103" s="56"/>
      <c r="C103" s="56"/>
      <c r="D103" s="56"/>
      <c r="E103" s="56"/>
      <c r="F103" s="56"/>
      <c r="G103" s="56"/>
      <c r="H103" s="56"/>
      <c r="I103" s="56"/>
      <c r="J103" s="56"/>
    </row>
    <row r="104" spans="1:10">
      <c r="A104" s="56"/>
      <c r="B104" s="56"/>
      <c r="C104" s="56"/>
      <c r="D104" s="56"/>
      <c r="E104" s="56"/>
      <c r="F104" s="56"/>
      <c r="G104" s="56"/>
      <c r="H104" s="56"/>
      <c r="I104" s="56"/>
      <c r="J104" s="56"/>
    </row>
    <row r="105" spans="1:10">
      <c r="A105" s="56"/>
      <c r="B105" s="56"/>
      <c r="C105" s="56"/>
      <c r="D105" s="56"/>
      <c r="E105" s="56"/>
      <c r="F105" s="56"/>
      <c r="G105" s="56"/>
      <c r="H105" s="56"/>
      <c r="I105" s="56"/>
      <c r="J105" s="56"/>
    </row>
    <row r="106" spans="1:10">
      <c r="A106" s="56"/>
      <c r="B106" s="56"/>
      <c r="C106" s="56"/>
      <c r="D106" s="56"/>
      <c r="E106" s="56"/>
      <c r="F106" s="56"/>
      <c r="G106" s="56"/>
      <c r="H106" s="56"/>
      <c r="I106" s="56"/>
      <c r="J106" s="56"/>
    </row>
    <row r="107" spans="1:10">
      <c r="A107" s="56"/>
      <c r="B107" s="56"/>
      <c r="C107" s="56"/>
      <c r="D107" s="56"/>
      <c r="E107" s="56"/>
      <c r="F107" s="56"/>
      <c r="G107" s="56"/>
      <c r="H107" s="56"/>
      <c r="I107" s="56"/>
      <c r="J107" s="56"/>
    </row>
    <row r="108" spans="1:10">
      <c r="A108" s="56"/>
      <c r="B108" s="56"/>
      <c r="C108" s="56"/>
      <c r="D108" s="56"/>
      <c r="E108" s="56"/>
      <c r="F108" s="56"/>
      <c r="G108" s="56"/>
      <c r="H108" s="56"/>
      <c r="I108" s="56"/>
      <c r="J108" s="56"/>
    </row>
    <row r="109" spans="1:10">
      <c r="A109" s="56"/>
      <c r="B109" s="56"/>
      <c r="C109" s="56"/>
      <c r="D109" s="56"/>
      <c r="E109" s="56"/>
      <c r="F109" s="56"/>
      <c r="G109" s="56"/>
      <c r="H109" s="56"/>
      <c r="I109" s="56"/>
      <c r="J109" s="56"/>
    </row>
    <row r="110" spans="1:10">
      <c r="A110" s="56"/>
      <c r="B110" s="56"/>
      <c r="C110" s="56"/>
      <c r="D110" s="56"/>
      <c r="E110" s="56"/>
      <c r="F110" s="56"/>
      <c r="G110" s="56"/>
      <c r="H110" s="56"/>
      <c r="I110" s="56"/>
      <c r="J110" s="56"/>
    </row>
    <row r="111" spans="1:10">
      <c r="A111" s="56"/>
      <c r="B111" s="56"/>
      <c r="C111" s="56"/>
      <c r="D111" s="56"/>
      <c r="E111" s="56"/>
      <c r="F111" s="56"/>
      <c r="G111" s="56"/>
      <c r="H111" s="56"/>
      <c r="I111" s="56"/>
      <c r="J111" s="56"/>
    </row>
    <row r="112" spans="1:10">
      <c r="A112" s="56"/>
      <c r="B112" s="56"/>
      <c r="C112" s="56"/>
      <c r="D112" s="56"/>
      <c r="E112" s="56"/>
      <c r="F112" s="56"/>
      <c r="G112" s="56"/>
      <c r="H112" s="56"/>
      <c r="I112" s="56"/>
      <c r="J112" s="56"/>
    </row>
    <row r="113" spans="1:10">
      <c r="A113" s="56"/>
      <c r="B113" s="56"/>
      <c r="C113" s="56"/>
      <c r="D113" s="56"/>
      <c r="E113" s="56"/>
      <c r="F113" s="56"/>
      <c r="G113" s="56"/>
      <c r="H113" s="56"/>
      <c r="I113" s="56"/>
      <c r="J113" s="56"/>
    </row>
    <row r="114" spans="1:10">
      <c r="A114" s="56"/>
      <c r="B114" s="56"/>
      <c r="C114" s="56"/>
      <c r="D114" s="56"/>
      <c r="E114" s="56"/>
      <c r="F114" s="56"/>
      <c r="G114" s="56"/>
      <c r="H114" s="56"/>
      <c r="I114" s="56"/>
      <c r="J114" s="56"/>
    </row>
    <row r="115" spans="1:10">
      <c r="A115" s="56"/>
      <c r="B115" s="56"/>
      <c r="C115" s="56"/>
      <c r="D115" s="56"/>
      <c r="E115" s="56"/>
      <c r="F115" s="56"/>
      <c r="G115" s="56"/>
      <c r="H115" s="56"/>
      <c r="I115" s="56"/>
      <c r="J115" s="56"/>
    </row>
    <row r="116" spans="1:10">
      <c r="A116" s="56"/>
      <c r="B116" s="56"/>
      <c r="C116" s="56"/>
      <c r="D116" s="56"/>
      <c r="E116" s="56"/>
      <c r="F116" s="56"/>
      <c r="G116" s="56"/>
      <c r="H116" s="56"/>
      <c r="I116" s="56"/>
      <c r="J116" s="56"/>
    </row>
    <row r="117" spans="1:10">
      <c r="A117" s="56"/>
      <c r="B117" s="56"/>
      <c r="C117" s="56"/>
      <c r="D117" s="56"/>
      <c r="E117" s="56"/>
      <c r="F117" s="56"/>
      <c r="G117" s="56"/>
      <c r="H117" s="56"/>
      <c r="I117" s="56"/>
      <c r="J117" s="56"/>
    </row>
    <row r="118" spans="1:10">
      <c r="A118" s="56"/>
      <c r="B118" s="56"/>
      <c r="C118" s="56"/>
      <c r="D118" s="56"/>
      <c r="E118" s="56"/>
      <c r="F118" s="56"/>
      <c r="G118" s="56"/>
      <c r="H118" s="56"/>
      <c r="I118" s="56"/>
      <c r="J118" s="56"/>
    </row>
    <row r="119" spans="1:10">
      <c r="A119" s="56"/>
      <c r="B119" s="56"/>
      <c r="C119" s="56"/>
      <c r="D119" s="56"/>
      <c r="E119" s="56"/>
      <c r="F119" s="56"/>
      <c r="G119" s="56"/>
      <c r="H119" s="56"/>
      <c r="I119" s="56"/>
      <c r="J119" s="56"/>
    </row>
    <row r="120" spans="1:10">
      <c r="A120" s="56"/>
      <c r="B120" s="56"/>
      <c r="C120" s="56"/>
      <c r="D120" s="56"/>
      <c r="E120" s="56"/>
      <c r="F120" s="56"/>
      <c r="G120" s="56"/>
      <c r="H120" s="56"/>
      <c r="I120" s="56"/>
      <c r="J120" s="56"/>
    </row>
    <row r="121" spans="1:10">
      <c r="A121" s="56"/>
      <c r="B121" s="56"/>
      <c r="C121" s="56"/>
      <c r="D121" s="56"/>
      <c r="E121" s="56"/>
      <c r="F121" s="56"/>
      <c r="G121" s="56"/>
      <c r="H121" s="56"/>
      <c r="I121" s="56"/>
      <c r="J121" s="56"/>
    </row>
    <row r="122" spans="1:10">
      <c r="A122" s="56"/>
      <c r="B122" s="56"/>
      <c r="C122" s="56"/>
      <c r="D122" s="56"/>
      <c r="E122" s="56"/>
      <c r="F122" s="56"/>
      <c r="G122" s="56"/>
      <c r="H122" s="56"/>
      <c r="I122" s="56"/>
      <c r="J122" s="56"/>
    </row>
    <row r="123" spans="1:10">
      <c r="A123" s="56"/>
      <c r="B123" s="56"/>
      <c r="C123" s="56"/>
      <c r="D123" s="56"/>
      <c r="E123" s="56"/>
      <c r="F123" s="56"/>
      <c r="G123" s="56"/>
      <c r="H123" s="56"/>
      <c r="I123" s="56"/>
      <c r="J123" s="56"/>
    </row>
    <row r="124" spans="1:10">
      <c r="A124" s="56"/>
      <c r="B124" s="56"/>
      <c r="C124" s="56"/>
      <c r="D124" s="56"/>
      <c r="E124" s="56"/>
      <c r="F124" s="56"/>
      <c r="G124" s="56"/>
      <c r="H124" s="56"/>
      <c r="I124" s="56"/>
      <c r="J124" s="56"/>
    </row>
    <row r="125" spans="1:10">
      <c r="A125" s="56"/>
      <c r="B125" s="56"/>
      <c r="C125" s="56"/>
      <c r="D125" s="56"/>
      <c r="E125" s="56"/>
      <c r="F125" s="56"/>
      <c r="G125" s="56"/>
      <c r="H125" s="56"/>
      <c r="I125" s="56"/>
      <c r="J125" s="56"/>
    </row>
    <row r="126" spans="1:10">
      <c r="A126" s="56"/>
      <c r="B126" s="56"/>
      <c r="C126" s="56"/>
      <c r="D126" s="56"/>
      <c r="E126" s="56"/>
      <c r="F126" s="56"/>
      <c r="G126" s="56"/>
      <c r="H126" s="56"/>
      <c r="I126" s="56"/>
      <c r="J126" s="56"/>
    </row>
    <row r="127" spans="1:10">
      <c r="A127" s="56"/>
      <c r="B127" s="56"/>
      <c r="C127" s="56"/>
      <c r="D127" s="56"/>
      <c r="E127" s="56"/>
      <c r="F127" s="56"/>
      <c r="G127" s="56"/>
      <c r="H127" s="56"/>
      <c r="I127" s="56"/>
      <c r="J127" s="56"/>
    </row>
    <row r="128" spans="1:10">
      <c r="A128" s="56"/>
      <c r="B128" s="56"/>
      <c r="C128" s="56"/>
      <c r="D128" s="56"/>
      <c r="E128" s="56"/>
      <c r="F128" s="56"/>
      <c r="G128" s="56"/>
      <c r="H128" s="56"/>
      <c r="I128" s="56"/>
      <c r="J128" s="56"/>
    </row>
    <row r="129" spans="1:10">
      <c r="A129" s="56"/>
      <c r="B129" s="56"/>
      <c r="C129" s="56"/>
      <c r="D129" s="56"/>
      <c r="E129" s="56"/>
      <c r="F129" s="56"/>
      <c r="G129" s="56"/>
      <c r="H129" s="56"/>
      <c r="I129" s="56"/>
      <c r="J129" s="56"/>
    </row>
    <row r="130" spans="1:10">
      <c r="A130" s="56"/>
      <c r="B130" s="56"/>
      <c r="C130" s="56"/>
      <c r="D130" s="56"/>
      <c r="E130" s="56"/>
      <c r="F130" s="56"/>
      <c r="G130" s="56"/>
      <c r="H130" s="56"/>
      <c r="I130" s="56"/>
      <c r="J130" s="56"/>
    </row>
    <row r="131" spans="1:10">
      <c r="A131" s="56"/>
      <c r="B131" s="56"/>
      <c r="C131" s="56"/>
      <c r="D131" s="56"/>
      <c r="E131" s="56"/>
      <c r="F131" s="56"/>
      <c r="G131" s="56"/>
      <c r="H131" s="56"/>
      <c r="I131" s="56"/>
      <c r="J131" s="56"/>
    </row>
    <row r="132" spans="1:10">
      <c r="A132" s="56"/>
      <c r="B132" s="56"/>
      <c r="C132" s="56"/>
      <c r="D132" s="56"/>
      <c r="E132" s="56"/>
      <c r="F132" s="56"/>
      <c r="G132" s="56"/>
      <c r="H132" s="56"/>
      <c r="I132" s="56"/>
      <c r="J132" s="56"/>
    </row>
    <row r="133" spans="1:10">
      <c r="A133" s="56"/>
      <c r="B133" s="56"/>
      <c r="C133" s="56"/>
      <c r="D133" s="56"/>
      <c r="E133" s="56"/>
      <c r="F133" s="56"/>
      <c r="G133" s="56"/>
      <c r="H133" s="56"/>
      <c r="I133" s="56"/>
      <c r="J133" s="56"/>
    </row>
    <row r="134" spans="1:10">
      <c r="A134" s="56"/>
      <c r="B134" s="56"/>
      <c r="C134" s="56"/>
      <c r="D134" s="56"/>
      <c r="E134" s="56"/>
      <c r="F134" s="56"/>
      <c r="G134" s="56"/>
      <c r="H134" s="56"/>
      <c r="I134" s="56"/>
      <c r="J134" s="56"/>
    </row>
    <row r="135" spans="1:10">
      <c r="A135" s="56"/>
      <c r="B135" s="56"/>
      <c r="C135" s="56"/>
      <c r="D135" s="56"/>
      <c r="E135" s="56"/>
      <c r="F135" s="56"/>
      <c r="G135" s="56"/>
      <c r="H135" s="56"/>
      <c r="I135" s="56"/>
      <c r="J135" s="56"/>
    </row>
    <row r="136" spans="1:10">
      <c r="A136" s="56"/>
      <c r="B136" s="56"/>
      <c r="C136" s="56"/>
      <c r="D136" s="56"/>
      <c r="E136" s="56"/>
      <c r="F136" s="56"/>
      <c r="G136" s="56"/>
      <c r="H136" s="56"/>
      <c r="I136" s="56"/>
      <c r="J136" s="56"/>
    </row>
    <row r="137" spans="1:10">
      <c r="A137" s="56"/>
      <c r="B137" s="56"/>
      <c r="C137" s="56"/>
      <c r="D137" s="56"/>
      <c r="E137" s="56"/>
      <c r="F137" s="56"/>
      <c r="G137" s="56"/>
      <c r="H137" s="56"/>
      <c r="I137" s="56"/>
      <c r="J137" s="56"/>
    </row>
    <row r="138" spans="1:10">
      <c r="A138" s="56"/>
      <c r="B138" s="56"/>
      <c r="C138" s="56"/>
      <c r="D138" s="56"/>
      <c r="E138" s="56"/>
      <c r="F138" s="56"/>
      <c r="G138" s="56"/>
      <c r="H138" s="56"/>
      <c r="I138" s="56"/>
      <c r="J138" s="56"/>
    </row>
    <row r="139" spans="1:10">
      <c r="A139" s="56"/>
      <c r="B139" s="56"/>
      <c r="C139" s="56"/>
      <c r="D139" s="56"/>
      <c r="E139" s="56"/>
      <c r="F139" s="56"/>
      <c r="G139" s="56"/>
      <c r="H139" s="56"/>
      <c r="I139" s="56"/>
      <c r="J139" s="56"/>
    </row>
    <row r="140" spans="1:10">
      <c r="A140" s="56"/>
      <c r="B140" s="56"/>
      <c r="C140" s="56"/>
      <c r="D140" s="56"/>
      <c r="E140" s="56"/>
      <c r="F140" s="56"/>
      <c r="G140" s="56"/>
      <c r="H140" s="56"/>
      <c r="I140" s="56"/>
      <c r="J140" s="56"/>
    </row>
    <row r="141" spans="1:10">
      <c r="A141" s="56"/>
      <c r="B141" s="56"/>
      <c r="C141" s="56"/>
      <c r="D141" s="56"/>
      <c r="E141" s="56"/>
      <c r="F141" s="56"/>
      <c r="G141" s="56"/>
      <c r="H141" s="56"/>
      <c r="I141" s="56"/>
      <c r="J141" s="56"/>
    </row>
    <row r="142" spans="1:10">
      <c r="A142" s="56"/>
      <c r="B142" s="56"/>
      <c r="C142" s="56"/>
      <c r="D142" s="56"/>
      <c r="E142" s="56"/>
      <c r="F142" s="56"/>
      <c r="G142" s="56"/>
      <c r="H142" s="56"/>
      <c r="I142" s="56"/>
      <c r="J142" s="56"/>
    </row>
    <row r="143" spans="1:10">
      <c r="A143" s="56"/>
      <c r="B143" s="56"/>
      <c r="C143" s="56"/>
      <c r="D143" s="56"/>
      <c r="E143" s="56"/>
      <c r="F143" s="56"/>
      <c r="G143" s="56"/>
      <c r="H143" s="56"/>
      <c r="I143" s="56"/>
      <c r="J143" s="56"/>
    </row>
    <row r="144" spans="1:10">
      <c r="A144" s="56"/>
      <c r="B144" s="56"/>
      <c r="C144" s="56"/>
      <c r="D144" s="56"/>
      <c r="E144" s="56"/>
      <c r="F144" s="56"/>
      <c r="G144" s="56"/>
      <c r="H144" s="56"/>
      <c r="I144" s="56"/>
      <c r="J144" s="56"/>
    </row>
    <row r="145" spans="1:10">
      <c r="A145" s="56"/>
      <c r="B145" s="56"/>
      <c r="C145" s="56"/>
      <c r="D145" s="56"/>
      <c r="E145" s="56"/>
      <c r="F145" s="56"/>
      <c r="G145" s="56"/>
      <c r="H145" s="56"/>
      <c r="I145" s="56"/>
      <c r="J145" s="56"/>
    </row>
    <row r="146" spans="1:10">
      <c r="A146" s="56"/>
      <c r="B146" s="56"/>
      <c r="C146" s="56"/>
      <c r="D146" s="56"/>
      <c r="E146" s="56"/>
      <c r="F146" s="56"/>
      <c r="G146" s="56"/>
      <c r="H146" s="56"/>
      <c r="I146" s="56"/>
      <c r="J146" s="56"/>
    </row>
    <row r="147" spans="1:10">
      <c r="A147" s="56"/>
      <c r="B147" s="56"/>
      <c r="C147" s="56"/>
      <c r="D147" s="56"/>
      <c r="E147" s="56"/>
      <c r="F147" s="56"/>
      <c r="G147" s="56"/>
      <c r="H147" s="56"/>
      <c r="I147" s="56"/>
      <c r="J147" s="56"/>
    </row>
    <row r="148" spans="1:10">
      <c r="A148" s="56"/>
      <c r="B148" s="56"/>
      <c r="C148" s="56"/>
      <c r="D148" s="56"/>
      <c r="E148" s="56"/>
      <c r="F148" s="56"/>
      <c r="G148" s="56"/>
      <c r="H148" s="56"/>
      <c r="I148" s="56"/>
      <c r="J148" s="56"/>
    </row>
    <row r="149" spans="1:10">
      <c r="A149" s="56"/>
      <c r="B149" s="56"/>
      <c r="C149" s="56"/>
      <c r="D149" s="56"/>
      <c r="E149" s="56"/>
      <c r="F149" s="56"/>
      <c r="G149" s="56"/>
      <c r="H149" s="56"/>
      <c r="I149" s="56"/>
      <c r="J149" s="56"/>
    </row>
    <row r="150" spans="1:10">
      <c r="A150" s="56"/>
      <c r="B150" s="56"/>
      <c r="C150" s="56"/>
      <c r="D150" s="56"/>
      <c r="E150" s="56"/>
      <c r="F150" s="56"/>
      <c r="G150" s="56"/>
      <c r="H150" s="56"/>
      <c r="I150" s="56"/>
      <c r="J150" s="56"/>
    </row>
    <row r="151" spans="1:10">
      <c r="A151" s="56"/>
      <c r="B151" s="56"/>
      <c r="C151" s="56"/>
      <c r="D151" s="56"/>
      <c r="E151" s="56"/>
      <c r="F151" s="56"/>
      <c r="G151" s="56"/>
      <c r="H151" s="56"/>
      <c r="I151" s="56"/>
      <c r="J151" s="56"/>
    </row>
    <row r="152" spans="1:10">
      <c r="A152" s="56"/>
      <c r="B152" s="56"/>
      <c r="C152" s="56"/>
      <c r="D152" s="56"/>
      <c r="E152" s="56"/>
      <c r="F152" s="56"/>
      <c r="G152" s="56"/>
      <c r="H152" s="56"/>
      <c r="I152" s="56"/>
      <c r="J152" s="56"/>
    </row>
    <row r="153" spans="1:10">
      <c r="A153" s="56"/>
      <c r="B153" s="56"/>
      <c r="C153" s="56"/>
      <c r="D153" s="56"/>
      <c r="E153" s="56"/>
      <c r="F153" s="56"/>
      <c r="G153" s="56"/>
      <c r="H153" s="56"/>
      <c r="I153" s="56"/>
      <c r="J153" s="56"/>
    </row>
    <row r="154" spans="1:10">
      <c r="A154" s="56"/>
      <c r="B154" s="56"/>
      <c r="C154" s="56"/>
      <c r="D154" s="56"/>
      <c r="E154" s="56"/>
      <c r="F154" s="56"/>
      <c r="G154" s="56"/>
      <c r="H154" s="56"/>
      <c r="I154" s="56"/>
      <c r="J154" s="56"/>
    </row>
    <row r="155" spans="1:10">
      <c r="A155" s="56"/>
      <c r="B155" s="56"/>
      <c r="C155" s="56"/>
      <c r="D155" s="56"/>
      <c r="E155" s="56"/>
      <c r="F155" s="56"/>
      <c r="G155" s="56"/>
      <c r="H155" s="56"/>
      <c r="I155" s="56"/>
      <c r="J155" s="56"/>
    </row>
    <row r="156" spans="1:10">
      <c r="A156" s="56"/>
      <c r="B156" s="56"/>
      <c r="C156" s="56"/>
      <c r="D156" s="56"/>
      <c r="E156" s="56"/>
      <c r="F156" s="56"/>
      <c r="G156" s="56"/>
      <c r="H156" s="56"/>
      <c r="I156" s="56"/>
      <c r="J156" s="56"/>
    </row>
    <row r="157" spans="1:10">
      <c r="A157" s="56"/>
      <c r="B157" s="56"/>
      <c r="C157" s="56"/>
      <c r="D157" s="56"/>
      <c r="E157" s="56"/>
      <c r="F157" s="56"/>
      <c r="G157" s="56"/>
      <c r="H157" s="56"/>
      <c r="I157" s="56"/>
      <c r="J157" s="56"/>
    </row>
    <row r="158" spans="1:10">
      <c r="A158" s="56"/>
      <c r="B158" s="56"/>
      <c r="C158" s="56"/>
      <c r="D158" s="56"/>
      <c r="E158" s="56"/>
      <c r="F158" s="56"/>
      <c r="G158" s="56"/>
      <c r="H158" s="56"/>
      <c r="I158" s="56"/>
      <c r="J158" s="56"/>
    </row>
    <row r="159" spans="1:10">
      <c r="A159" s="56"/>
      <c r="B159" s="56"/>
      <c r="C159" s="56"/>
      <c r="D159" s="56"/>
      <c r="E159" s="56"/>
      <c r="F159" s="56"/>
      <c r="G159" s="56"/>
      <c r="H159" s="56"/>
      <c r="I159" s="56"/>
      <c r="J159" s="56"/>
    </row>
    <row r="160" spans="1:10">
      <c r="A160" s="56"/>
      <c r="B160" s="56"/>
      <c r="C160" s="56"/>
      <c r="D160" s="56"/>
      <c r="E160" s="56"/>
      <c r="F160" s="56"/>
      <c r="G160" s="56"/>
      <c r="H160" s="56"/>
      <c r="I160" s="56"/>
      <c r="J160" s="56"/>
    </row>
    <row r="161" spans="1:10">
      <c r="A161" s="56"/>
      <c r="B161" s="56"/>
      <c r="C161" s="56"/>
      <c r="D161" s="56"/>
      <c r="E161" s="56"/>
      <c r="F161" s="56"/>
      <c r="G161" s="56"/>
      <c r="H161" s="56"/>
      <c r="I161" s="56"/>
      <c r="J161" s="56"/>
    </row>
    <row r="162" spans="1:10">
      <c r="A162" s="56"/>
      <c r="B162" s="56"/>
      <c r="C162" s="56"/>
      <c r="D162" s="56"/>
      <c r="E162" s="56"/>
      <c r="F162" s="56"/>
      <c r="G162" s="56"/>
      <c r="H162" s="56"/>
      <c r="I162" s="56"/>
      <c r="J162" s="56"/>
    </row>
    <row r="163" spans="1:10">
      <c r="A163" s="56"/>
      <c r="B163" s="56"/>
      <c r="C163" s="56"/>
      <c r="D163" s="56"/>
      <c r="E163" s="56"/>
      <c r="F163" s="56"/>
      <c r="G163" s="56"/>
      <c r="H163" s="56"/>
      <c r="I163" s="56"/>
      <c r="J163" s="56"/>
    </row>
    <row r="164" spans="1:10">
      <c r="A164" s="56"/>
      <c r="B164" s="56"/>
      <c r="C164" s="56"/>
      <c r="D164" s="56"/>
      <c r="E164" s="56"/>
      <c r="F164" s="56"/>
      <c r="G164" s="56"/>
      <c r="H164" s="56"/>
      <c r="I164" s="56"/>
      <c r="J164" s="56"/>
    </row>
    <row r="165" spans="1:10">
      <c r="A165" s="56"/>
      <c r="B165" s="56"/>
      <c r="C165" s="56"/>
      <c r="D165" s="56"/>
      <c r="E165" s="56"/>
      <c r="F165" s="56"/>
      <c r="G165" s="56"/>
      <c r="H165" s="56"/>
      <c r="I165" s="56"/>
      <c r="J165" s="56"/>
    </row>
    <row r="166" spans="1:10">
      <c r="A166" s="56"/>
      <c r="B166" s="56"/>
      <c r="C166" s="56"/>
      <c r="D166" s="56"/>
      <c r="E166" s="56"/>
      <c r="F166" s="56"/>
      <c r="G166" s="56"/>
      <c r="H166" s="56"/>
      <c r="I166" s="56"/>
      <c r="J166" s="56"/>
    </row>
    <row r="167" spans="1:10">
      <c r="A167" s="56"/>
      <c r="B167" s="56"/>
      <c r="C167" s="56"/>
      <c r="D167" s="56"/>
      <c r="E167" s="56"/>
      <c r="F167" s="56"/>
      <c r="G167" s="56"/>
      <c r="H167" s="56"/>
      <c r="I167" s="56"/>
      <c r="J167" s="56"/>
    </row>
    <row r="168" spans="1:10">
      <c r="A168" s="56"/>
      <c r="B168" s="56"/>
      <c r="C168" s="56"/>
      <c r="D168" s="56"/>
      <c r="E168" s="56"/>
      <c r="F168" s="56"/>
      <c r="G168" s="56"/>
      <c r="H168" s="56"/>
      <c r="I168" s="56"/>
      <c r="J168" s="56"/>
    </row>
    <row r="169" spans="1:10">
      <c r="A169" s="56"/>
      <c r="B169" s="56"/>
      <c r="C169" s="56"/>
      <c r="D169" s="56"/>
      <c r="E169" s="56"/>
      <c r="F169" s="56"/>
      <c r="G169" s="56"/>
      <c r="H169" s="56"/>
      <c r="I169" s="56"/>
      <c r="J169" s="56"/>
    </row>
    <row r="170" spans="1:10">
      <c r="A170" s="56"/>
      <c r="B170" s="56"/>
      <c r="C170" s="56"/>
      <c r="D170" s="56"/>
      <c r="E170" s="56"/>
      <c r="F170" s="56"/>
      <c r="G170" s="56"/>
      <c r="H170" s="56"/>
      <c r="I170" s="56"/>
      <c r="J170" s="56"/>
    </row>
    <row r="171" spans="1:10">
      <c r="A171" s="56"/>
      <c r="B171" s="56"/>
      <c r="C171" s="56"/>
      <c r="D171" s="56"/>
      <c r="E171" s="56"/>
      <c r="F171" s="56"/>
      <c r="G171" s="56"/>
      <c r="H171" s="56"/>
      <c r="I171" s="56"/>
      <c r="J171" s="56"/>
    </row>
    <row r="172" spans="1:10">
      <c r="A172" s="56"/>
      <c r="B172" s="56"/>
      <c r="C172" s="56"/>
      <c r="D172" s="56"/>
      <c r="E172" s="56"/>
      <c r="F172" s="56"/>
      <c r="G172" s="56"/>
      <c r="H172" s="56"/>
      <c r="I172" s="56"/>
      <c r="J172" s="56"/>
    </row>
    <row r="173" spans="1:10">
      <c r="A173" s="56"/>
      <c r="B173" s="56"/>
      <c r="C173" s="56"/>
      <c r="D173" s="56"/>
      <c r="E173" s="56"/>
      <c r="F173" s="56"/>
      <c r="G173" s="56"/>
      <c r="H173" s="56"/>
      <c r="I173" s="56"/>
      <c r="J173" s="56"/>
    </row>
    <row r="174" spans="1:10">
      <c r="A174" s="56"/>
      <c r="B174" s="56"/>
      <c r="C174" s="56"/>
      <c r="D174" s="56"/>
      <c r="E174" s="56"/>
      <c r="F174" s="56"/>
      <c r="G174" s="56"/>
      <c r="H174" s="56"/>
      <c r="I174" s="56"/>
      <c r="J174" s="56"/>
    </row>
    <row r="175" spans="1:10">
      <c r="A175" s="56"/>
      <c r="B175" s="56"/>
      <c r="C175" s="56"/>
      <c r="D175" s="56"/>
      <c r="E175" s="56"/>
      <c r="F175" s="56"/>
      <c r="G175" s="56"/>
      <c r="H175" s="56"/>
      <c r="I175" s="56"/>
      <c r="J175" s="56"/>
    </row>
    <row r="176" spans="1:10">
      <c r="A176" s="56"/>
      <c r="B176" s="56"/>
      <c r="C176" s="56"/>
      <c r="D176" s="56"/>
      <c r="E176" s="56"/>
      <c r="F176" s="56"/>
      <c r="G176" s="56"/>
      <c r="H176" s="56"/>
      <c r="I176" s="56"/>
      <c r="J176" s="56"/>
    </row>
    <row r="177" spans="1:10">
      <c r="A177" s="56"/>
      <c r="B177" s="56"/>
      <c r="C177" s="56"/>
      <c r="D177" s="56"/>
      <c r="E177" s="56"/>
      <c r="F177" s="56"/>
      <c r="G177" s="56"/>
      <c r="H177" s="56"/>
      <c r="I177" s="56"/>
      <c r="J177" s="56"/>
    </row>
    <row r="178" spans="1:10">
      <c r="A178" s="56"/>
      <c r="B178" s="56"/>
      <c r="C178" s="56"/>
      <c r="D178" s="56"/>
      <c r="E178" s="56"/>
      <c r="F178" s="56"/>
      <c r="G178" s="56"/>
      <c r="H178" s="56"/>
      <c r="I178" s="56"/>
      <c r="J178" s="56"/>
    </row>
    <row r="179" spans="1:10">
      <c r="A179" s="56"/>
      <c r="B179" s="56"/>
      <c r="C179" s="56"/>
      <c r="D179" s="56"/>
      <c r="E179" s="56"/>
      <c r="F179" s="56"/>
      <c r="G179" s="56"/>
      <c r="H179" s="56"/>
      <c r="I179" s="56"/>
      <c r="J179" s="56"/>
    </row>
    <row r="180" spans="1:10">
      <c r="A180" s="56"/>
      <c r="B180" s="56"/>
      <c r="C180" s="56"/>
      <c r="D180" s="56"/>
      <c r="E180" s="56"/>
      <c r="F180" s="56"/>
      <c r="G180" s="56"/>
      <c r="H180" s="56"/>
      <c r="I180" s="56"/>
      <c r="J180" s="56"/>
    </row>
    <row r="181" spans="1:10">
      <c r="A181" s="56"/>
      <c r="B181" s="56"/>
      <c r="C181" s="56"/>
      <c r="D181" s="56"/>
      <c r="E181" s="56"/>
      <c r="F181" s="56"/>
      <c r="G181" s="56"/>
      <c r="H181" s="56"/>
      <c r="I181" s="56"/>
      <c r="J181" s="56"/>
    </row>
    <row r="182" spans="1:10">
      <c r="A182" s="56"/>
      <c r="B182" s="56"/>
      <c r="C182" s="56"/>
      <c r="D182" s="56"/>
      <c r="E182" s="56"/>
      <c r="F182" s="56"/>
      <c r="G182" s="56"/>
      <c r="H182" s="56"/>
      <c r="I182" s="56"/>
      <c r="J182" s="56"/>
    </row>
    <row r="183" spans="1:10">
      <c r="A183" s="56"/>
      <c r="B183" s="56"/>
      <c r="C183" s="56"/>
      <c r="D183" s="56"/>
      <c r="E183" s="56"/>
      <c r="F183" s="56"/>
      <c r="G183" s="56"/>
      <c r="H183" s="56"/>
      <c r="I183" s="56"/>
      <c r="J183" s="56"/>
    </row>
    <row r="184" spans="1:10">
      <c r="A184" s="56"/>
      <c r="B184" s="56"/>
      <c r="C184" s="56"/>
      <c r="D184" s="56"/>
      <c r="E184" s="56"/>
      <c r="F184" s="56"/>
      <c r="G184" s="56"/>
      <c r="H184" s="56"/>
      <c r="I184" s="56"/>
      <c r="J184" s="56"/>
    </row>
    <row r="185" spans="1:10">
      <c r="A185" s="56"/>
      <c r="B185" s="56"/>
      <c r="C185" s="56"/>
      <c r="D185" s="56"/>
      <c r="E185" s="56"/>
      <c r="F185" s="56"/>
      <c r="G185" s="56"/>
      <c r="H185" s="56"/>
      <c r="I185" s="56"/>
      <c r="J185" s="56"/>
    </row>
    <row r="186" spans="1:10">
      <c r="A186" s="56"/>
      <c r="B186" s="56"/>
      <c r="C186" s="56"/>
      <c r="D186" s="56"/>
      <c r="E186" s="56"/>
      <c r="F186" s="56"/>
      <c r="G186" s="56"/>
      <c r="H186" s="56"/>
      <c r="I186" s="56"/>
      <c r="J186" s="56"/>
    </row>
    <row r="187" spans="1:10">
      <c r="A187" s="56"/>
      <c r="B187" s="56"/>
      <c r="C187" s="56"/>
      <c r="D187" s="56"/>
      <c r="E187" s="56"/>
      <c r="F187" s="56"/>
      <c r="G187" s="56"/>
      <c r="H187" s="56"/>
      <c r="I187" s="56"/>
      <c r="J187" s="56"/>
    </row>
    <row r="188" spans="1:10">
      <c r="A188" s="56"/>
      <c r="B188" s="56"/>
      <c r="C188" s="56"/>
      <c r="D188" s="56"/>
      <c r="E188" s="56"/>
      <c r="F188" s="56"/>
      <c r="G188" s="56"/>
      <c r="H188" s="56"/>
      <c r="I188" s="56"/>
      <c r="J188" s="56"/>
    </row>
    <row r="189" spans="1:10">
      <c r="A189" s="56"/>
      <c r="B189" s="56"/>
      <c r="C189" s="56"/>
      <c r="D189" s="56"/>
      <c r="E189" s="56"/>
      <c r="F189" s="56"/>
      <c r="G189" s="56"/>
      <c r="H189" s="56"/>
      <c r="I189" s="56"/>
      <c r="J189" s="56"/>
    </row>
    <row r="190" spans="1:10">
      <c r="A190" s="56"/>
      <c r="B190" s="56"/>
      <c r="C190" s="56"/>
      <c r="D190" s="56"/>
      <c r="E190" s="56"/>
      <c r="F190" s="56"/>
      <c r="G190" s="56"/>
      <c r="H190" s="56"/>
      <c r="I190" s="56"/>
      <c r="J190" s="56"/>
    </row>
    <row r="191" spans="1:10">
      <c r="A191" s="56"/>
      <c r="B191" s="56"/>
      <c r="C191" s="56"/>
      <c r="D191" s="56"/>
      <c r="E191" s="56"/>
      <c r="F191" s="56"/>
      <c r="G191" s="56"/>
      <c r="H191" s="56"/>
      <c r="I191" s="56"/>
      <c r="J191" s="56"/>
    </row>
    <row r="192" spans="1:10">
      <c r="A192" s="56"/>
      <c r="B192" s="56"/>
      <c r="C192" s="56"/>
      <c r="D192" s="56"/>
      <c r="E192" s="56"/>
      <c r="F192" s="56"/>
      <c r="G192" s="56"/>
      <c r="H192" s="56"/>
      <c r="I192" s="56"/>
      <c r="J192" s="56"/>
    </row>
    <row r="193" spans="1:10">
      <c r="A193" s="56"/>
      <c r="B193" s="56"/>
      <c r="C193" s="56"/>
      <c r="D193" s="56"/>
      <c r="E193" s="56"/>
      <c r="F193" s="56"/>
      <c r="G193" s="56"/>
      <c r="H193" s="56"/>
      <c r="I193" s="56"/>
      <c r="J193" s="56"/>
    </row>
    <row r="194" spans="1:10">
      <c r="A194" s="56"/>
      <c r="B194" s="56"/>
      <c r="C194" s="56"/>
      <c r="D194" s="56"/>
      <c r="E194" s="56"/>
      <c r="F194" s="56"/>
      <c r="G194" s="56"/>
      <c r="H194" s="56"/>
      <c r="I194" s="56"/>
      <c r="J194" s="56"/>
    </row>
    <row r="195" spans="1:10">
      <c r="A195" s="56"/>
      <c r="B195" s="56"/>
      <c r="C195" s="56"/>
      <c r="D195" s="56"/>
      <c r="E195" s="56"/>
      <c r="F195" s="56"/>
      <c r="G195" s="56"/>
      <c r="H195" s="56"/>
      <c r="I195" s="56"/>
      <c r="J195" s="56"/>
    </row>
    <row r="196" spans="1:10">
      <c r="A196" s="56"/>
      <c r="B196" s="56"/>
      <c r="C196" s="56"/>
      <c r="D196" s="56"/>
      <c r="E196" s="56"/>
      <c r="F196" s="56"/>
      <c r="G196" s="56"/>
      <c r="H196" s="56"/>
      <c r="I196" s="56"/>
      <c r="J196" s="56"/>
    </row>
    <row r="197" spans="1:10">
      <c r="A197" s="56"/>
      <c r="B197" s="56"/>
      <c r="C197" s="56"/>
      <c r="D197" s="56"/>
      <c r="E197" s="56"/>
      <c r="F197" s="56"/>
      <c r="G197" s="56"/>
      <c r="H197" s="56"/>
      <c r="I197" s="56"/>
      <c r="J197" s="56"/>
    </row>
    <row r="198" spans="1:10">
      <c r="A198" s="56"/>
      <c r="B198" s="56"/>
      <c r="C198" s="56"/>
      <c r="D198" s="56"/>
      <c r="E198" s="56"/>
      <c r="F198" s="56"/>
      <c r="G198" s="56"/>
      <c r="H198" s="56"/>
      <c r="I198" s="56"/>
      <c r="J198" s="56"/>
    </row>
    <row r="199" spans="1:10">
      <c r="A199" s="56"/>
      <c r="B199" s="56"/>
      <c r="C199" s="56"/>
      <c r="D199" s="56"/>
      <c r="E199" s="56"/>
      <c r="F199" s="56"/>
      <c r="G199" s="56"/>
      <c r="H199" s="56"/>
      <c r="I199" s="56"/>
      <c r="J199" s="56"/>
    </row>
    <row r="200" spans="1:10">
      <c r="A200" s="56"/>
      <c r="B200" s="56"/>
      <c r="C200" s="56"/>
      <c r="D200" s="56"/>
      <c r="E200" s="56"/>
      <c r="F200" s="56"/>
      <c r="G200" s="56"/>
      <c r="H200" s="56"/>
      <c r="I200" s="56"/>
      <c r="J200" s="56"/>
    </row>
    <row r="201" spans="1:10">
      <c r="A201" s="56"/>
      <c r="B201" s="56"/>
      <c r="C201" s="56"/>
      <c r="D201" s="56"/>
      <c r="E201" s="56"/>
      <c r="F201" s="56"/>
      <c r="G201" s="56"/>
      <c r="H201" s="56"/>
      <c r="I201" s="56"/>
      <c r="J201" s="56"/>
    </row>
    <row r="202" spans="1:10">
      <c r="A202" s="56"/>
      <c r="B202" s="56"/>
      <c r="C202" s="56"/>
      <c r="D202" s="56"/>
      <c r="E202" s="56"/>
      <c r="F202" s="56"/>
      <c r="G202" s="56"/>
      <c r="H202" s="56"/>
      <c r="I202" s="56"/>
      <c r="J202" s="56"/>
    </row>
    <row r="203" spans="1:10">
      <c r="A203" s="56"/>
      <c r="B203" s="56"/>
      <c r="C203" s="56"/>
      <c r="D203" s="56"/>
      <c r="E203" s="56"/>
      <c r="F203" s="56"/>
      <c r="G203" s="56"/>
      <c r="H203" s="56"/>
      <c r="I203" s="56"/>
      <c r="J203" s="56"/>
    </row>
    <row r="204" spans="1:10">
      <c r="A204" s="56"/>
      <c r="B204" s="56"/>
      <c r="C204" s="56"/>
      <c r="D204" s="56"/>
      <c r="E204" s="56"/>
      <c r="F204" s="56"/>
      <c r="G204" s="56"/>
      <c r="H204" s="56"/>
      <c r="I204" s="56"/>
      <c r="J204" s="56"/>
    </row>
    <row r="205" spans="1:10">
      <c r="A205" s="56"/>
      <c r="B205" s="56"/>
      <c r="C205" s="56"/>
      <c r="D205" s="56"/>
      <c r="E205" s="56"/>
      <c r="F205" s="56"/>
      <c r="G205" s="56"/>
      <c r="H205" s="56"/>
      <c r="I205" s="56"/>
      <c r="J205" s="56"/>
    </row>
    <row r="206" spans="1:10">
      <c r="A206" s="56"/>
      <c r="B206" s="56"/>
      <c r="C206" s="56"/>
      <c r="D206" s="56"/>
      <c r="E206" s="56"/>
      <c r="F206" s="56"/>
      <c r="G206" s="56"/>
      <c r="H206" s="56"/>
      <c r="I206" s="56"/>
      <c r="J206" s="56"/>
    </row>
    <row r="207" spans="1:10">
      <c r="A207" s="56"/>
      <c r="B207" s="56"/>
      <c r="C207" s="56"/>
      <c r="D207" s="56"/>
      <c r="E207" s="56"/>
      <c r="F207" s="56"/>
      <c r="G207" s="56"/>
      <c r="H207" s="56"/>
      <c r="I207" s="56"/>
      <c r="J207" s="56"/>
    </row>
    <row r="208" spans="1:10">
      <c r="A208" s="56"/>
      <c r="B208" s="56"/>
      <c r="C208" s="56"/>
      <c r="D208" s="56"/>
      <c r="E208" s="56"/>
      <c r="F208" s="56"/>
      <c r="G208" s="56"/>
      <c r="H208" s="56"/>
      <c r="I208" s="56"/>
      <c r="J208" s="56"/>
    </row>
    <row r="209" spans="1:10">
      <c r="A209" s="56"/>
      <c r="B209" s="56"/>
      <c r="C209" s="56"/>
      <c r="D209" s="56"/>
      <c r="E209" s="56"/>
      <c r="F209" s="56"/>
      <c r="G209" s="56"/>
      <c r="H209" s="56"/>
      <c r="I209" s="56"/>
      <c r="J209" s="56"/>
    </row>
    <row r="210" spans="1:10">
      <c r="A210" s="56"/>
      <c r="B210" s="56"/>
      <c r="C210" s="56"/>
      <c r="D210" s="56"/>
      <c r="E210" s="56"/>
      <c r="F210" s="56"/>
      <c r="G210" s="56"/>
      <c r="H210" s="56"/>
      <c r="I210" s="56"/>
      <c r="J210" s="56"/>
    </row>
    <row r="211" spans="1:10">
      <c r="A211" s="56"/>
      <c r="B211" s="56"/>
      <c r="C211" s="56"/>
      <c r="D211" s="56"/>
      <c r="E211" s="56"/>
      <c r="F211" s="56"/>
      <c r="G211" s="56"/>
      <c r="H211" s="56"/>
      <c r="I211" s="56"/>
      <c r="J211" s="56"/>
    </row>
    <row r="212" spans="1:10">
      <c r="A212" s="56"/>
      <c r="B212" s="56"/>
      <c r="C212" s="56"/>
      <c r="D212" s="56"/>
      <c r="E212" s="56"/>
      <c r="F212" s="56"/>
      <c r="G212" s="56"/>
      <c r="H212" s="56"/>
      <c r="I212" s="56"/>
      <c r="J212" s="56"/>
    </row>
    <row r="213" spans="1:10">
      <c r="A213" s="56"/>
      <c r="B213" s="56"/>
      <c r="C213" s="56"/>
      <c r="D213" s="56"/>
      <c r="E213" s="56"/>
      <c r="F213" s="56"/>
      <c r="G213" s="56"/>
      <c r="H213" s="56"/>
      <c r="I213" s="56"/>
      <c r="J213" s="56"/>
    </row>
    <row r="214" spans="1:10">
      <c r="A214" s="56"/>
      <c r="B214" s="56"/>
      <c r="C214" s="56"/>
      <c r="D214" s="56"/>
      <c r="E214" s="56"/>
      <c r="F214" s="56"/>
      <c r="G214" s="56"/>
      <c r="H214" s="56"/>
      <c r="I214" s="56"/>
      <c r="J214" s="56"/>
    </row>
    <row r="215" spans="1:10">
      <c r="A215" s="56"/>
      <c r="B215" s="56"/>
      <c r="C215" s="56"/>
      <c r="D215" s="56"/>
      <c r="E215" s="56"/>
      <c r="F215" s="56"/>
      <c r="G215" s="56"/>
      <c r="H215" s="56"/>
      <c r="I215" s="56"/>
      <c r="J215" s="56"/>
    </row>
    <row r="216" spans="1:10">
      <c r="A216" s="56"/>
      <c r="B216" s="56"/>
      <c r="C216" s="56"/>
      <c r="D216" s="56"/>
      <c r="E216" s="56"/>
      <c r="F216" s="56"/>
      <c r="G216" s="56"/>
      <c r="H216" s="56"/>
      <c r="I216" s="56"/>
      <c r="J216" s="56"/>
    </row>
    <row r="217" spans="1:10">
      <c r="A217" s="56"/>
      <c r="B217" s="56"/>
      <c r="C217" s="56"/>
      <c r="D217" s="56"/>
      <c r="E217" s="56"/>
      <c r="F217" s="56"/>
      <c r="G217" s="56"/>
      <c r="H217" s="56"/>
      <c r="I217" s="56"/>
      <c r="J217" s="56"/>
    </row>
    <row r="218" spans="1:10">
      <c r="A218" s="56"/>
      <c r="B218" s="56"/>
      <c r="C218" s="56"/>
      <c r="D218" s="56"/>
      <c r="E218" s="56"/>
      <c r="F218" s="56"/>
      <c r="G218" s="56"/>
      <c r="H218" s="56"/>
      <c r="I218" s="56"/>
      <c r="J218" s="56"/>
    </row>
    <row r="219" spans="1:10">
      <c r="A219" s="56"/>
      <c r="B219" s="56"/>
      <c r="C219" s="56"/>
      <c r="D219" s="56"/>
      <c r="E219" s="56"/>
      <c r="F219" s="56"/>
      <c r="G219" s="56"/>
      <c r="H219" s="56"/>
      <c r="I219" s="56"/>
      <c r="J219" s="56"/>
    </row>
    <row r="220" spans="1:10">
      <c r="A220" s="56"/>
      <c r="B220" s="56"/>
      <c r="C220" s="56"/>
      <c r="D220" s="56"/>
      <c r="E220" s="56"/>
      <c r="F220" s="56"/>
      <c r="G220" s="56"/>
      <c r="H220" s="56"/>
      <c r="I220" s="56"/>
      <c r="J220" s="56"/>
    </row>
    <row r="221" spans="1:10">
      <c r="A221" s="56"/>
      <c r="B221" s="56"/>
      <c r="C221" s="56"/>
      <c r="D221" s="56"/>
      <c r="E221" s="56"/>
      <c r="F221" s="56"/>
      <c r="G221" s="56"/>
      <c r="H221" s="56"/>
      <c r="I221" s="56"/>
      <c r="J221" s="56"/>
    </row>
    <row r="222" spans="1:10">
      <c r="A222" s="56"/>
      <c r="B222" s="56"/>
      <c r="C222" s="56"/>
      <c r="D222" s="56"/>
      <c r="E222" s="56"/>
      <c r="F222" s="56"/>
      <c r="G222" s="56"/>
      <c r="H222" s="56"/>
      <c r="I222" s="56"/>
      <c r="J222" s="56"/>
    </row>
    <row r="223" spans="1:10">
      <c r="A223" s="56"/>
      <c r="B223" s="56"/>
      <c r="C223" s="56"/>
      <c r="D223" s="56"/>
      <c r="E223" s="56"/>
      <c r="F223" s="56"/>
      <c r="G223" s="56"/>
      <c r="H223" s="56"/>
      <c r="I223" s="56"/>
      <c r="J223" s="56"/>
    </row>
    <row r="224" spans="1:10">
      <c r="A224" s="56"/>
      <c r="B224" s="56"/>
      <c r="C224" s="56"/>
      <c r="D224" s="56"/>
      <c r="E224" s="56"/>
      <c r="F224" s="56"/>
      <c r="G224" s="56"/>
      <c r="H224" s="56"/>
      <c r="I224" s="56"/>
      <c r="J224" s="56"/>
    </row>
    <row r="225" spans="1:10">
      <c r="A225" s="56"/>
      <c r="B225" s="56"/>
      <c r="C225" s="56"/>
      <c r="D225" s="56"/>
      <c r="E225" s="56"/>
      <c r="F225" s="56"/>
      <c r="G225" s="56"/>
      <c r="H225" s="56"/>
      <c r="I225" s="56"/>
      <c r="J225" s="56"/>
    </row>
    <row r="226" spans="1:10">
      <c r="A226" s="56"/>
      <c r="B226" s="56"/>
      <c r="C226" s="56"/>
      <c r="D226" s="56"/>
      <c r="E226" s="56"/>
      <c r="F226" s="56"/>
      <c r="G226" s="56"/>
      <c r="H226" s="56"/>
      <c r="I226" s="56"/>
      <c r="J226" s="56"/>
    </row>
    <row r="227" spans="1:10">
      <c r="A227" s="56"/>
      <c r="B227" s="56"/>
      <c r="C227" s="56"/>
      <c r="D227" s="56"/>
      <c r="E227" s="56"/>
      <c r="F227" s="56"/>
      <c r="G227" s="56"/>
      <c r="H227" s="56"/>
      <c r="I227" s="56"/>
      <c r="J227" s="56"/>
    </row>
    <row r="228" spans="1:10">
      <c r="A228" s="56"/>
      <c r="B228" s="56"/>
      <c r="C228" s="56"/>
      <c r="D228" s="56"/>
      <c r="E228" s="56"/>
      <c r="F228" s="56"/>
      <c r="G228" s="56"/>
      <c r="H228" s="56"/>
      <c r="I228" s="56"/>
      <c r="J228" s="56"/>
    </row>
    <row r="229" spans="1:10">
      <c r="A229" s="56"/>
      <c r="B229" s="56"/>
      <c r="C229" s="56"/>
      <c r="D229" s="56"/>
      <c r="E229" s="56"/>
      <c r="F229" s="56"/>
      <c r="G229" s="56"/>
      <c r="H229" s="56"/>
      <c r="I229" s="56"/>
      <c r="J229" s="56"/>
    </row>
    <row r="230" spans="1:10">
      <c r="A230" s="56"/>
      <c r="B230" s="56"/>
      <c r="C230" s="56"/>
      <c r="D230" s="56"/>
      <c r="E230" s="56"/>
      <c r="F230" s="56"/>
      <c r="G230" s="56"/>
      <c r="H230" s="56"/>
      <c r="I230" s="56"/>
      <c r="J230" s="56"/>
    </row>
    <row r="231" spans="1:10">
      <c r="A231" s="56"/>
      <c r="B231" s="56"/>
      <c r="C231" s="56"/>
      <c r="D231" s="56"/>
      <c r="E231" s="56"/>
      <c r="F231" s="56"/>
      <c r="G231" s="56"/>
      <c r="H231" s="56"/>
      <c r="I231" s="56"/>
      <c r="J231" s="56"/>
    </row>
    <row r="232" spans="1:10">
      <c r="A232" s="56"/>
      <c r="B232" s="56"/>
      <c r="C232" s="56"/>
      <c r="D232" s="56"/>
      <c r="E232" s="56"/>
      <c r="F232" s="56"/>
      <c r="G232" s="56"/>
      <c r="H232" s="56"/>
      <c r="I232" s="56"/>
      <c r="J232" s="56"/>
    </row>
    <row r="233" spans="1:10">
      <c r="A233" s="56"/>
      <c r="B233" s="56"/>
      <c r="C233" s="56"/>
      <c r="D233" s="56"/>
      <c r="E233" s="56"/>
      <c r="F233" s="56"/>
      <c r="G233" s="56"/>
      <c r="H233" s="56"/>
      <c r="I233" s="56"/>
      <c r="J233" s="56"/>
    </row>
    <row r="234" spans="1:10">
      <c r="A234" s="56"/>
      <c r="B234" s="56"/>
      <c r="C234" s="56"/>
      <c r="D234" s="56"/>
      <c r="E234" s="56"/>
      <c r="F234" s="56"/>
      <c r="G234" s="56"/>
      <c r="H234" s="56"/>
      <c r="I234" s="56"/>
      <c r="J234" s="56"/>
    </row>
    <row r="235" spans="1:10">
      <c r="A235" s="56"/>
      <c r="B235" s="56"/>
      <c r="C235" s="56"/>
      <c r="D235" s="56"/>
      <c r="E235" s="56"/>
      <c r="F235" s="56"/>
      <c r="G235" s="56"/>
      <c r="H235" s="56"/>
      <c r="I235" s="56"/>
      <c r="J235" s="56"/>
    </row>
    <row r="236" spans="1:10">
      <c r="A236" s="56"/>
      <c r="B236" s="56"/>
      <c r="C236" s="56"/>
      <c r="D236" s="56"/>
      <c r="E236" s="56"/>
      <c r="F236" s="56"/>
      <c r="G236" s="56"/>
      <c r="H236" s="56"/>
      <c r="I236" s="56"/>
      <c r="J236" s="56"/>
    </row>
    <row r="237" spans="1:10">
      <c r="A237" s="56"/>
      <c r="B237" s="56"/>
      <c r="C237" s="56"/>
      <c r="D237" s="56"/>
      <c r="E237" s="56"/>
      <c r="F237" s="56"/>
      <c r="G237" s="56"/>
      <c r="H237" s="56"/>
      <c r="I237" s="56"/>
      <c r="J237" s="56"/>
    </row>
    <row r="238" spans="1:10">
      <c r="A238" s="56"/>
      <c r="B238" s="56"/>
      <c r="C238" s="56"/>
      <c r="D238" s="56"/>
      <c r="E238" s="56"/>
      <c r="F238" s="56"/>
      <c r="G238" s="56"/>
      <c r="H238" s="56"/>
      <c r="I238" s="56"/>
      <c r="J238" s="56"/>
    </row>
    <row r="239" spans="1:10">
      <c r="A239" s="56"/>
      <c r="B239" s="56"/>
      <c r="C239" s="56"/>
      <c r="D239" s="56"/>
      <c r="E239" s="56"/>
      <c r="F239" s="56"/>
      <c r="G239" s="56"/>
      <c r="H239" s="56"/>
      <c r="I239" s="56"/>
      <c r="J239" s="56"/>
    </row>
    <row r="240" spans="1:10">
      <c r="A240" s="56"/>
      <c r="B240" s="56"/>
      <c r="C240" s="56"/>
      <c r="D240" s="56"/>
      <c r="E240" s="56"/>
      <c r="F240" s="56"/>
      <c r="G240" s="56"/>
      <c r="H240" s="56"/>
      <c r="I240" s="56"/>
      <c r="J240" s="56"/>
    </row>
    <row r="241" spans="1:10">
      <c r="A241" s="56"/>
      <c r="B241" s="56"/>
      <c r="C241" s="56"/>
      <c r="D241" s="56"/>
      <c r="E241" s="56"/>
      <c r="F241" s="56"/>
      <c r="G241" s="56"/>
      <c r="H241" s="56"/>
      <c r="I241" s="56"/>
      <c r="J241" s="56"/>
    </row>
    <row r="242" spans="1:10">
      <c r="A242" s="56"/>
      <c r="B242" s="56"/>
      <c r="C242" s="56"/>
      <c r="D242" s="56"/>
      <c r="E242" s="56"/>
      <c r="F242" s="56"/>
      <c r="G242" s="56"/>
      <c r="H242" s="56"/>
      <c r="I242" s="56"/>
      <c r="J242" s="56"/>
    </row>
    <row r="243" spans="1:10">
      <c r="A243" s="56"/>
      <c r="B243" s="56"/>
      <c r="C243" s="56"/>
      <c r="D243" s="56"/>
      <c r="E243" s="56"/>
      <c r="F243" s="56"/>
      <c r="G243" s="56"/>
      <c r="H243" s="56"/>
      <c r="I243" s="56"/>
      <c r="J243" s="56"/>
    </row>
    <row r="244" spans="1:10">
      <c r="A244" s="56"/>
      <c r="B244" s="56"/>
      <c r="C244" s="56"/>
      <c r="D244" s="56"/>
      <c r="E244" s="56"/>
      <c r="F244" s="56"/>
      <c r="G244" s="56"/>
      <c r="H244" s="56"/>
      <c r="I244" s="56"/>
      <c r="J244" s="56"/>
    </row>
    <row r="245" spans="1:10">
      <c r="A245" s="56"/>
      <c r="B245" s="56"/>
      <c r="C245" s="56"/>
      <c r="D245" s="56"/>
      <c r="E245" s="56"/>
      <c r="F245" s="56"/>
      <c r="G245" s="56"/>
      <c r="H245" s="56"/>
      <c r="I245" s="56"/>
      <c r="J245" s="56"/>
    </row>
    <row r="246" spans="1:10">
      <c r="A246" s="56"/>
      <c r="B246" s="56"/>
      <c r="C246" s="56"/>
      <c r="D246" s="56"/>
      <c r="E246" s="56"/>
      <c r="F246" s="56"/>
      <c r="G246" s="56"/>
      <c r="H246" s="56"/>
      <c r="I246" s="56"/>
      <c r="J246" s="56"/>
    </row>
    <row r="247" spans="1:10">
      <c r="A247" s="56"/>
      <c r="B247" s="56"/>
      <c r="C247" s="56"/>
      <c r="D247" s="56"/>
      <c r="E247" s="56"/>
      <c r="F247" s="56"/>
      <c r="G247" s="56"/>
      <c r="H247" s="56"/>
      <c r="I247" s="56"/>
      <c r="J247" s="56"/>
    </row>
    <row r="248" spans="1:10">
      <c r="A248" s="56"/>
      <c r="B248" s="56"/>
      <c r="C248" s="56"/>
      <c r="D248" s="56"/>
      <c r="E248" s="56"/>
      <c r="F248" s="56"/>
      <c r="G248" s="56"/>
      <c r="H248" s="56"/>
      <c r="I248" s="56"/>
      <c r="J248" s="56"/>
    </row>
    <row r="249" spans="1:10">
      <c r="A249" s="56"/>
      <c r="B249" s="56"/>
      <c r="C249" s="56"/>
      <c r="D249" s="56"/>
      <c r="E249" s="56"/>
      <c r="F249" s="56"/>
      <c r="G249" s="56"/>
      <c r="H249" s="56"/>
      <c r="I249" s="56"/>
      <c r="J249" s="56"/>
    </row>
    <row r="250" spans="1:10">
      <c r="A250" s="56"/>
      <c r="B250" s="56"/>
      <c r="C250" s="56"/>
      <c r="D250" s="56"/>
      <c r="E250" s="56"/>
      <c r="F250" s="56"/>
      <c r="G250" s="56"/>
      <c r="H250" s="56"/>
      <c r="I250" s="56"/>
      <c r="J250" s="56"/>
    </row>
    <row r="251" spans="1:10">
      <c r="A251" s="56"/>
      <c r="B251" s="56"/>
      <c r="C251" s="56"/>
      <c r="D251" s="56"/>
      <c r="E251" s="56"/>
      <c r="F251" s="56"/>
      <c r="G251" s="56"/>
      <c r="H251" s="56"/>
      <c r="I251" s="56"/>
      <c r="J251" s="56"/>
    </row>
    <row r="252" spans="1:10">
      <c r="A252" s="56"/>
      <c r="B252" s="56"/>
      <c r="C252" s="56"/>
      <c r="D252" s="56"/>
      <c r="E252" s="56"/>
      <c r="F252" s="56"/>
      <c r="G252" s="56"/>
      <c r="H252" s="56"/>
      <c r="I252" s="56"/>
      <c r="J252" s="56"/>
    </row>
    <row r="253" spans="1:10">
      <c r="A253" s="56"/>
      <c r="B253" s="56"/>
      <c r="C253" s="56"/>
      <c r="D253" s="56"/>
      <c r="E253" s="56"/>
      <c r="F253" s="56"/>
      <c r="G253" s="56"/>
      <c r="H253" s="56"/>
      <c r="I253" s="56"/>
      <c r="J253" s="56"/>
    </row>
    <row r="254" spans="1:10">
      <c r="A254" s="56"/>
      <c r="B254" s="56"/>
      <c r="C254" s="56"/>
      <c r="D254" s="56"/>
      <c r="E254" s="56"/>
      <c r="F254" s="56"/>
      <c r="G254" s="56"/>
      <c r="H254" s="56"/>
      <c r="I254" s="56"/>
      <c r="J254" s="56"/>
    </row>
    <row r="255" spans="1:10">
      <c r="A255" s="56"/>
      <c r="B255" s="56"/>
      <c r="C255" s="56"/>
      <c r="D255" s="56"/>
      <c r="E255" s="56"/>
      <c r="F255" s="56"/>
      <c r="G255" s="56"/>
      <c r="H255" s="56"/>
      <c r="I255" s="56"/>
      <c r="J255" s="56"/>
    </row>
    <row r="256" spans="1:10">
      <c r="A256" s="56"/>
      <c r="B256" s="56"/>
      <c r="C256" s="56"/>
      <c r="D256" s="56"/>
      <c r="E256" s="56"/>
      <c r="F256" s="56"/>
      <c r="G256" s="56"/>
      <c r="H256" s="56"/>
      <c r="I256" s="56"/>
      <c r="J256" s="56"/>
    </row>
    <row r="257" spans="1:10">
      <c r="A257" s="56"/>
      <c r="B257" s="56"/>
      <c r="C257" s="56"/>
      <c r="D257" s="56"/>
      <c r="E257" s="56"/>
      <c r="F257" s="56"/>
      <c r="G257" s="56"/>
      <c r="H257" s="56"/>
      <c r="I257" s="56"/>
      <c r="J257" s="56"/>
    </row>
    <row r="258" spans="1:10">
      <c r="A258" s="56"/>
      <c r="B258" s="56"/>
      <c r="C258" s="56"/>
      <c r="D258" s="56"/>
      <c r="E258" s="56"/>
      <c r="F258" s="56"/>
      <c r="G258" s="56"/>
      <c r="H258" s="56"/>
      <c r="I258" s="56"/>
      <c r="J258" s="56"/>
    </row>
    <row r="259" spans="1:10">
      <c r="A259" s="56"/>
      <c r="B259" s="56"/>
      <c r="C259" s="56"/>
      <c r="D259" s="56"/>
      <c r="E259" s="56"/>
      <c r="F259" s="56"/>
      <c r="G259" s="56"/>
      <c r="H259" s="56"/>
      <c r="I259" s="56"/>
      <c r="J259" s="56"/>
    </row>
    <row r="260" spans="1:10">
      <c r="A260" s="56"/>
      <c r="B260" s="56"/>
      <c r="C260" s="56"/>
      <c r="D260" s="56"/>
      <c r="E260" s="56"/>
      <c r="F260" s="56"/>
      <c r="G260" s="56"/>
      <c r="H260" s="56"/>
      <c r="I260" s="56"/>
      <c r="J260" s="56"/>
    </row>
    <row r="261" spans="1:10">
      <c r="A261" s="56"/>
      <c r="B261" s="56"/>
      <c r="C261" s="56"/>
      <c r="D261" s="56"/>
      <c r="E261" s="56"/>
      <c r="F261" s="56"/>
      <c r="G261" s="56"/>
      <c r="H261" s="56"/>
      <c r="I261" s="56"/>
      <c r="J261" s="56"/>
    </row>
    <row r="262" spans="1:10">
      <c r="A262" s="56"/>
      <c r="B262" s="56"/>
      <c r="C262" s="56"/>
      <c r="D262" s="56"/>
      <c r="E262" s="56"/>
      <c r="F262" s="56"/>
      <c r="G262" s="56"/>
      <c r="H262" s="56"/>
      <c r="I262" s="56"/>
      <c r="J262" s="56"/>
    </row>
    <row r="263" spans="1:10">
      <c r="A263" s="56"/>
      <c r="B263" s="56"/>
      <c r="C263" s="56"/>
      <c r="D263" s="56"/>
      <c r="E263" s="56"/>
      <c r="F263" s="56"/>
      <c r="G263" s="56"/>
      <c r="H263" s="56"/>
      <c r="I263" s="56"/>
      <c r="J263" s="56"/>
    </row>
    <row r="264" spans="1:10">
      <c r="A264" s="56"/>
      <c r="B264" s="56"/>
      <c r="C264" s="56"/>
      <c r="D264" s="56"/>
      <c r="E264" s="56"/>
      <c r="F264" s="56"/>
      <c r="G264" s="56"/>
      <c r="H264" s="56"/>
      <c r="I264" s="56"/>
      <c r="J264" s="56"/>
    </row>
    <row r="265" spans="1:10">
      <c r="A265" s="56"/>
      <c r="B265" s="56"/>
      <c r="C265" s="56"/>
      <c r="D265" s="56"/>
      <c r="E265" s="56"/>
      <c r="F265" s="56"/>
      <c r="G265" s="56"/>
      <c r="H265" s="56"/>
      <c r="I265" s="56"/>
      <c r="J265" s="56"/>
    </row>
    <row r="266" spans="1:10">
      <c r="A266" s="56"/>
      <c r="B266" s="56"/>
      <c r="C266" s="56"/>
      <c r="D266" s="56"/>
      <c r="E266" s="56"/>
      <c r="F266" s="56"/>
      <c r="G266" s="56"/>
      <c r="H266" s="56"/>
      <c r="I266" s="56"/>
      <c r="J266" s="56"/>
    </row>
    <row r="267" spans="1:10">
      <c r="A267" s="56"/>
      <c r="B267" s="56"/>
      <c r="C267" s="56"/>
      <c r="D267" s="56"/>
      <c r="E267" s="56"/>
      <c r="F267" s="56"/>
      <c r="G267" s="56"/>
      <c r="H267" s="56"/>
      <c r="I267" s="56"/>
      <c r="J267" s="56"/>
    </row>
    <row r="268" spans="1:10">
      <c r="A268" s="56"/>
      <c r="B268" s="56"/>
      <c r="C268" s="56"/>
      <c r="D268" s="56"/>
      <c r="E268" s="56"/>
      <c r="F268" s="56"/>
      <c r="G268" s="56"/>
      <c r="H268" s="56"/>
      <c r="I268" s="56"/>
      <c r="J268" s="56"/>
    </row>
    <row r="269" spans="1:10">
      <c r="A269" s="56"/>
      <c r="B269" s="56"/>
      <c r="C269" s="56"/>
      <c r="D269" s="56"/>
      <c r="E269" s="56"/>
      <c r="F269" s="56"/>
      <c r="G269" s="56"/>
      <c r="H269" s="56"/>
      <c r="I269" s="56"/>
      <c r="J269" s="56"/>
    </row>
    <row r="270" spans="1:10">
      <c r="A270" s="56"/>
      <c r="B270" s="56"/>
      <c r="C270" s="56"/>
      <c r="D270" s="56"/>
      <c r="E270" s="56"/>
      <c r="F270" s="56"/>
      <c r="G270" s="56"/>
      <c r="H270" s="56"/>
      <c r="I270" s="56"/>
      <c r="J270" s="56"/>
    </row>
    <row r="271" spans="1:10">
      <c r="A271" s="56"/>
      <c r="B271" s="56"/>
      <c r="C271" s="56"/>
      <c r="D271" s="56"/>
      <c r="E271" s="56"/>
      <c r="F271" s="56"/>
      <c r="G271" s="56"/>
      <c r="H271" s="56"/>
      <c r="I271" s="56"/>
      <c r="J271" s="56"/>
    </row>
    <row r="272" spans="1:10">
      <c r="A272" s="56"/>
      <c r="B272" s="56"/>
      <c r="C272" s="56"/>
      <c r="D272" s="56"/>
      <c r="E272" s="56"/>
      <c r="F272" s="56"/>
      <c r="G272" s="56"/>
      <c r="H272" s="56"/>
      <c r="I272" s="56"/>
      <c r="J272" s="5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C2A64-DC4E-4410-A9FB-5588ABF8C930}">
  <sheetPr>
    <tabColor rgb="FFACB9CA"/>
  </sheetPr>
  <dimension ref="B2:C55"/>
  <sheetViews>
    <sheetView zoomScale="70" zoomScaleNormal="70" workbookViewId="0">
      <selection activeCell="F15" sqref="F15"/>
    </sheetView>
  </sheetViews>
  <sheetFormatPr defaultRowHeight="14.25"/>
  <cols>
    <col min="2" max="2" width="47" bestFit="1" customWidth="1"/>
    <col min="3" max="3" width="130.25" bestFit="1" customWidth="1"/>
  </cols>
  <sheetData>
    <row r="2" spans="2:3" ht="15" thickBot="1"/>
    <row r="3" spans="2:3" ht="21" thickBot="1">
      <c r="B3" s="62" t="s">
        <v>242</v>
      </c>
      <c r="C3" s="63"/>
    </row>
    <row r="4" spans="2:3" ht="21" thickTop="1">
      <c r="B4" s="26" t="s">
        <v>243</v>
      </c>
      <c r="C4" s="27" t="s">
        <v>244</v>
      </c>
    </row>
    <row r="5" spans="2:3" ht="20.25">
      <c r="B5" s="28" t="s">
        <v>245</v>
      </c>
      <c r="C5" s="29"/>
    </row>
    <row r="6" spans="2:3" ht="20.25">
      <c r="B6" s="30" t="s">
        <v>246</v>
      </c>
      <c r="C6" s="29" t="s">
        <v>247</v>
      </c>
    </row>
    <row r="7" spans="2:3" ht="20.25">
      <c r="B7" s="30" t="s">
        <v>248</v>
      </c>
      <c r="C7" s="31" t="s">
        <v>266</v>
      </c>
    </row>
    <row r="8" spans="2:3" ht="20.25">
      <c r="B8" s="30" t="s">
        <v>249</v>
      </c>
      <c r="C8" s="31" t="s">
        <v>267</v>
      </c>
    </row>
    <row r="9" spans="2:3" ht="20.25">
      <c r="B9" s="30" t="s">
        <v>397</v>
      </c>
      <c r="C9" s="31" t="s">
        <v>268</v>
      </c>
    </row>
    <row r="10" spans="2:3" ht="20.25">
      <c r="B10" s="30" t="s">
        <v>398</v>
      </c>
      <c r="C10" s="31" t="s">
        <v>269</v>
      </c>
    </row>
    <row r="11" spans="2:3" ht="20.25">
      <c r="B11" s="30" t="s">
        <v>250</v>
      </c>
      <c r="C11" s="29" t="s">
        <v>251</v>
      </c>
    </row>
    <row r="12" spans="2:3" ht="20.25">
      <c r="B12" s="30" t="s">
        <v>402</v>
      </c>
      <c r="C12" s="29" t="s">
        <v>403</v>
      </c>
    </row>
    <row r="13" spans="2:3" ht="20.25">
      <c r="B13" s="28" t="s">
        <v>252</v>
      </c>
      <c r="C13" s="29"/>
    </row>
    <row r="14" spans="2:3" ht="20.25">
      <c r="B14" s="30" t="s">
        <v>253</v>
      </c>
      <c r="C14" s="29" t="s">
        <v>254</v>
      </c>
    </row>
    <row r="15" spans="2:3" ht="20.25">
      <c r="B15" s="28" t="s">
        <v>255</v>
      </c>
      <c r="C15" s="29"/>
    </row>
    <row r="16" spans="2:3" ht="20.25">
      <c r="B16" s="30" t="s">
        <v>270</v>
      </c>
      <c r="C16" s="31" t="s">
        <v>271</v>
      </c>
    </row>
    <row r="17" spans="2:3" ht="20.25">
      <c r="B17" s="30" t="s">
        <v>5</v>
      </c>
      <c r="C17" s="31" t="s">
        <v>424</v>
      </c>
    </row>
    <row r="18" spans="2:3" ht="20.25">
      <c r="B18" s="30"/>
      <c r="C18" s="29"/>
    </row>
    <row r="19" spans="2:3" ht="20.25">
      <c r="B19" s="28" t="s">
        <v>256</v>
      </c>
      <c r="C19" s="29"/>
    </row>
    <row r="20" spans="2:3" ht="20.25">
      <c r="B20" s="30" t="s">
        <v>193</v>
      </c>
      <c r="C20" s="29" t="s">
        <v>254</v>
      </c>
    </row>
    <row r="21" spans="2:3" ht="20.25">
      <c r="B21" s="30" t="s">
        <v>272</v>
      </c>
      <c r="C21" s="29" t="s">
        <v>383</v>
      </c>
    </row>
    <row r="22" spans="2:3" ht="20.25">
      <c r="B22" s="37" t="s">
        <v>273</v>
      </c>
      <c r="C22" s="38" t="s">
        <v>384</v>
      </c>
    </row>
    <row r="23" spans="2:3" ht="20.25">
      <c r="B23" s="30" t="s">
        <v>257</v>
      </c>
      <c r="C23" s="29" t="s">
        <v>254</v>
      </c>
    </row>
    <row r="24" spans="2:3" ht="20.25">
      <c r="B24" s="30" t="s">
        <v>258</v>
      </c>
      <c r="C24" s="29" t="s">
        <v>254</v>
      </c>
    </row>
    <row r="25" spans="2:3" ht="20.25">
      <c r="B25" s="30" t="s">
        <v>259</v>
      </c>
      <c r="C25" s="29" t="s">
        <v>260</v>
      </c>
    </row>
    <row r="26" spans="2:3" ht="20.25">
      <c r="B26" s="37"/>
    </row>
    <row r="27" spans="2:3" ht="20.25">
      <c r="B27" s="28" t="s">
        <v>404</v>
      </c>
      <c r="C27" s="29"/>
    </row>
    <row r="28" spans="2:3" ht="20.25">
      <c r="B28" s="30" t="s">
        <v>274</v>
      </c>
      <c r="C28" s="29" t="s">
        <v>275</v>
      </c>
    </row>
    <row r="29" spans="2:3" ht="20.25">
      <c r="B29" s="30" t="s">
        <v>276</v>
      </c>
      <c r="C29" s="29" t="s">
        <v>414</v>
      </c>
    </row>
    <row r="30" spans="2:3" ht="20.25">
      <c r="B30" s="30"/>
      <c r="C30" s="29"/>
    </row>
    <row r="31" spans="2:3" ht="20.25">
      <c r="B31" s="30"/>
      <c r="C31" s="29"/>
    </row>
    <row r="32" spans="2:3" ht="20.25">
      <c r="B32" s="30"/>
      <c r="C32" s="29"/>
    </row>
    <row r="33" spans="2:3" ht="20.25">
      <c r="B33" s="30"/>
      <c r="C33" s="29"/>
    </row>
    <row r="34" spans="2:3" ht="20.25">
      <c r="B34" s="28"/>
      <c r="C34" s="29"/>
    </row>
    <row r="35" spans="2:3" ht="20.25">
      <c r="B35" s="32"/>
      <c r="C35" s="31"/>
    </row>
    <row r="36" spans="2:3" ht="20.25">
      <c r="B36" s="28"/>
      <c r="C36" s="29"/>
    </row>
    <row r="37" spans="2:3" ht="20.25">
      <c r="B37" s="30"/>
      <c r="C37" s="29"/>
    </row>
    <row r="38" spans="2:3" ht="20.25">
      <c r="B38" s="30"/>
      <c r="C38" s="29"/>
    </row>
    <row r="39" spans="2:3" ht="20.25">
      <c r="B39" s="30"/>
      <c r="C39" s="29"/>
    </row>
    <row r="40" spans="2:3" ht="20.25">
      <c r="B40" s="30"/>
      <c r="C40" s="29"/>
    </row>
    <row r="41" spans="2:3" ht="20.25">
      <c r="B41" s="30"/>
      <c r="C41" s="29"/>
    </row>
    <row r="42" spans="2:3" ht="20.25">
      <c r="B42" s="30"/>
      <c r="C42" s="29"/>
    </row>
    <row r="43" spans="2:3" ht="20.25">
      <c r="B43" s="30"/>
      <c r="C43" s="29"/>
    </row>
    <row r="44" spans="2:3" ht="20.25">
      <c r="B44" s="30"/>
      <c r="C44" s="29"/>
    </row>
    <row r="45" spans="2:3" ht="20.25">
      <c r="B45" s="30"/>
      <c r="C45" s="29"/>
    </row>
    <row r="46" spans="2:3" ht="21" thickBot="1">
      <c r="B46" s="33"/>
      <c r="C46" s="29"/>
    </row>
    <row r="49" spans="2:3" ht="15" thickBot="1"/>
    <row r="50" spans="2:3" ht="21" thickBot="1">
      <c r="B50" s="62" t="s">
        <v>261</v>
      </c>
      <c r="C50" s="63"/>
    </row>
    <row r="51" spans="2:3" ht="27" thickTop="1">
      <c r="B51" s="34" t="s">
        <v>262</v>
      </c>
      <c r="C51" s="35" t="s">
        <v>263</v>
      </c>
    </row>
    <row r="52" spans="2:3" ht="24.75">
      <c r="B52" s="30" t="s">
        <v>264</v>
      </c>
      <c r="C52" s="29" t="s">
        <v>277</v>
      </c>
    </row>
    <row r="53" spans="2:3" ht="24.75">
      <c r="B53" s="30" t="s">
        <v>436</v>
      </c>
      <c r="C53" s="29" t="s">
        <v>277</v>
      </c>
    </row>
    <row r="54" spans="2:3" ht="20.25">
      <c r="B54" s="36" t="s">
        <v>265</v>
      </c>
      <c r="C54" s="29"/>
    </row>
    <row r="55" spans="2:3" ht="20.25">
      <c r="B55" s="30" t="s">
        <v>434</v>
      </c>
      <c r="C55" s="29" t="s">
        <v>435</v>
      </c>
    </row>
  </sheetData>
  <sheetProtection algorithmName="SHA-512" hashValue="JKrracssy0oAdqCbza/U6+mjpg+1IGOfHqQN6AWkTbTyK4AV4ROB4G+S1PLM5mKfVWciVUdJG2fSOoIsQeCW5w==" saltValue="qXAVL+JYTEitPpfsz4QHF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D0C32-FB5D-4354-B8E3-F5095FB823CC}">
  <sheetPr>
    <tabColor rgb="FF8FE993"/>
  </sheetPr>
  <dimension ref="A1:L26"/>
  <sheetViews>
    <sheetView workbookViewId="0">
      <selection activeCell="E17" sqref="E17"/>
    </sheetView>
  </sheetViews>
  <sheetFormatPr defaultRowHeight="14.25"/>
  <cols>
    <col min="1" max="1" width="29.25" bestFit="1" customWidth="1"/>
    <col min="2" max="2" width="12.625" customWidth="1"/>
    <col min="7" max="7" width="33" bestFit="1" customWidth="1"/>
    <col min="12" max="12" width="8.75" hidden="1" customWidth="1"/>
  </cols>
  <sheetData>
    <row r="1" spans="1:12" ht="15">
      <c r="A1" s="64" t="s">
        <v>429</v>
      </c>
      <c r="B1" s="64" t="s">
        <v>428</v>
      </c>
    </row>
    <row r="2" spans="1:12" ht="16.5">
      <c r="A2" s="64" t="s">
        <v>226</v>
      </c>
      <c r="B2" s="65">
        <v>10</v>
      </c>
      <c r="G2" s="52" t="s">
        <v>438</v>
      </c>
      <c r="H2" s="53" t="s">
        <v>209</v>
      </c>
    </row>
    <row r="3" spans="1:12" ht="15">
      <c r="A3" s="64" t="s">
        <v>227</v>
      </c>
      <c r="B3" s="65">
        <v>10</v>
      </c>
      <c r="G3" s="53" t="s">
        <v>430</v>
      </c>
      <c r="H3" s="54">
        <f>'Pature Enteric Methane'!D39</f>
        <v>3594.4309473289513</v>
      </c>
    </row>
    <row r="4" spans="1:12" ht="15">
      <c r="A4" s="64" t="s">
        <v>385</v>
      </c>
      <c r="B4" s="65">
        <v>90</v>
      </c>
      <c r="G4" s="53" t="s">
        <v>431</v>
      </c>
      <c r="H4" s="54">
        <f>'Pasture Manure Emissions'!C101</f>
        <v>878.4667153591887</v>
      </c>
    </row>
    <row r="5" spans="1:12" ht="16.5">
      <c r="A5" s="64" t="s">
        <v>387</v>
      </c>
      <c r="B5" s="65">
        <v>541.5</v>
      </c>
      <c r="G5" s="53" t="s">
        <v>437</v>
      </c>
      <c r="H5" s="54">
        <f>SUM(H3:H4)</f>
        <v>4472.8976626881404</v>
      </c>
    </row>
    <row r="6" spans="1:12" ht="16.5">
      <c r="A6" s="64" t="s">
        <v>386</v>
      </c>
      <c r="B6" s="65">
        <v>734.79</v>
      </c>
      <c r="G6" s="53" t="s">
        <v>439</v>
      </c>
      <c r="H6" s="54">
        <f>'User Outputs'!B6</f>
        <v>428.49596895158055</v>
      </c>
    </row>
    <row r="7" spans="1:12" ht="15">
      <c r="A7" s="64" t="s">
        <v>222</v>
      </c>
      <c r="B7" s="65" t="s">
        <v>228</v>
      </c>
      <c r="G7" s="53" t="s">
        <v>214</v>
      </c>
      <c r="H7" s="54">
        <f>'Grazing Production'!B4</f>
        <v>3.6</v>
      </c>
    </row>
    <row r="8" spans="1:12" ht="16.5">
      <c r="A8" s="64" t="s">
        <v>223</v>
      </c>
      <c r="B8" s="65" t="s">
        <v>237</v>
      </c>
      <c r="G8" s="53" t="s">
        <v>440</v>
      </c>
      <c r="H8" s="54">
        <f>H5/H7</f>
        <v>1242.4715729689278</v>
      </c>
    </row>
    <row r="9" spans="1:12" ht="16.5">
      <c r="A9" s="64" t="s">
        <v>215</v>
      </c>
      <c r="B9" s="65">
        <v>3.6</v>
      </c>
      <c r="G9" s="53" t="s">
        <v>441</v>
      </c>
      <c r="H9" s="55">
        <f>'User Outputs'!B12</f>
        <v>4.8873334218064279</v>
      </c>
    </row>
    <row r="10" spans="1:12" ht="15">
      <c r="A10" s="64" t="s">
        <v>216</v>
      </c>
      <c r="B10" s="65" t="s">
        <v>293</v>
      </c>
      <c r="G10" s="16"/>
      <c r="L10" t="s">
        <v>224</v>
      </c>
    </row>
    <row r="11" spans="1:12" ht="15">
      <c r="A11" s="64" t="s">
        <v>405</v>
      </c>
      <c r="B11" s="65">
        <v>70</v>
      </c>
      <c r="F11" s="51"/>
    </row>
    <row r="12" spans="1:12" ht="15">
      <c r="A12" s="64" t="s">
        <v>406</v>
      </c>
      <c r="B12" s="65">
        <v>1.2</v>
      </c>
      <c r="F12" s="51"/>
    </row>
    <row r="13" spans="1:12" ht="15">
      <c r="A13" s="64" t="s">
        <v>217</v>
      </c>
      <c r="B13" s="65" t="s">
        <v>225</v>
      </c>
      <c r="L13" t="s">
        <v>225</v>
      </c>
    </row>
    <row r="14" spans="1:12" ht="15">
      <c r="A14" s="64" t="s">
        <v>218</v>
      </c>
      <c r="B14" s="65" t="s">
        <v>330</v>
      </c>
    </row>
    <row r="15" spans="1:12" ht="15">
      <c r="A15" s="64" t="s">
        <v>219</v>
      </c>
      <c r="B15" s="65">
        <v>0</v>
      </c>
      <c r="L15" t="s">
        <v>228</v>
      </c>
    </row>
    <row r="16" spans="1:12" ht="15">
      <c r="A16" s="64" t="s">
        <v>221</v>
      </c>
      <c r="B16" s="65" t="s">
        <v>225</v>
      </c>
      <c r="L16" t="s">
        <v>229</v>
      </c>
    </row>
    <row r="17" spans="1:12" ht="15">
      <c r="A17" s="64" t="s">
        <v>220</v>
      </c>
      <c r="B17" s="65" t="s">
        <v>225</v>
      </c>
      <c r="L17" t="s">
        <v>230</v>
      </c>
    </row>
    <row r="18" spans="1:12" ht="15">
      <c r="A18" s="64" t="s">
        <v>399</v>
      </c>
      <c r="B18" s="65"/>
      <c r="L18" t="s">
        <v>231</v>
      </c>
    </row>
    <row r="19" spans="1:12" ht="15">
      <c r="A19" s="64" t="s">
        <v>400</v>
      </c>
      <c r="B19" s="65"/>
      <c r="L19" t="s">
        <v>232</v>
      </c>
    </row>
    <row r="20" spans="1:12" ht="15">
      <c r="A20" s="64" t="s">
        <v>401</v>
      </c>
      <c r="B20" s="65"/>
      <c r="L20" t="s">
        <v>233</v>
      </c>
    </row>
    <row r="22" spans="1:12">
      <c r="L22" t="s">
        <v>237</v>
      </c>
    </row>
    <row r="23" spans="1:12">
      <c r="L23" t="s">
        <v>234</v>
      </c>
    </row>
    <row r="24" spans="1:12">
      <c r="L24" t="s">
        <v>235</v>
      </c>
    </row>
    <row r="25" spans="1:12">
      <c r="L25" t="s">
        <v>236</v>
      </c>
    </row>
    <row r="26" spans="1:12">
      <c r="L26" t="s">
        <v>238</v>
      </c>
    </row>
  </sheetData>
  <sheetProtection algorithmName="SHA-512" hashValue="qgujdxYq3QxmQlsbqAWwSkDkIvK7rt0PbCIxtkoQhNE7xNHON1agWeoPfPdQ02vtLi8Zz7MhW8cwMi/Izc4QWQ==" saltValue="BErJ6Ct7i61RvBi1z4Z1Hw==" spinCount="100000" sheet="1" objects="1" scenarios="1"/>
  <dataConsolidate/>
  <dataValidations count="4">
    <dataValidation type="list" showInputMessage="1" showErrorMessage="1" sqref="B7" xr:uid="{EE136103-2F74-4317-8139-35DD13A87BE9}">
      <formula1>L15:L20</formula1>
    </dataValidation>
    <dataValidation type="list" showInputMessage="1" showErrorMessage="1" sqref="B8" xr:uid="{2C308270-F34C-466B-98A2-08242D20846E}">
      <formula1>$L$22:$L$26</formula1>
    </dataValidation>
    <dataValidation type="list" allowBlank="1" showInputMessage="1" showErrorMessage="1" sqref="B13" xr:uid="{4AEE3DAA-D168-42FF-9267-22A6DC498A65}">
      <formula1>L10:L13</formula1>
    </dataValidation>
    <dataValidation type="list" allowBlank="1" showInputMessage="1" showErrorMessage="1" sqref="B16:B17" xr:uid="{25EE0FE1-443D-43A4-8FC1-61A4B19815B4}">
      <formula1>$L$10:$L$13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8F3E2BB-3E20-47C6-AF94-720FCA760A0C}">
          <x14:formula1>
            <xm:f>'Forage Library'!$B$3:$B$27</xm:f>
          </x14:formula1>
          <xm:sqref>B10</xm:sqref>
        </x14:dataValidation>
        <x14:dataValidation type="list" allowBlank="1" showInputMessage="1" showErrorMessage="1" xr:uid="{BCDEB40C-D452-4D87-BF5C-302A92AFAE6B}">
          <x14:formula1>
            <xm:f>'Forage Library'!$B$28:$B$105</xm:f>
          </x14:formula1>
          <xm:sqref>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85F4-B9F3-42B8-8F8B-CB6F6FF82369}">
  <dimension ref="A2:B12"/>
  <sheetViews>
    <sheetView workbookViewId="0">
      <selection activeCell="B36" sqref="B36"/>
    </sheetView>
  </sheetViews>
  <sheetFormatPr defaultRowHeight="14.25"/>
  <cols>
    <col min="1" max="1" width="34.625" bestFit="1" customWidth="1"/>
  </cols>
  <sheetData>
    <row r="2" spans="1:2" ht="15">
      <c r="B2" s="23" t="s">
        <v>209</v>
      </c>
    </row>
    <row r="3" spans="1:2" ht="15">
      <c r="A3" s="23" t="s">
        <v>205</v>
      </c>
      <c r="B3">
        <f>'Pature Enteric Methane'!C39</f>
        <v>3406.492974156617</v>
      </c>
    </row>
    <row r="4" spans="1:2" ht="15">
      <c r="A4" s="23" t="s">
        <v>206</v>
      </c>
      <c r="B4">
        <f>'Pasture Manure Emissions'!C101</f>
        <v>878.4667153591887</v>
      </c>
    </row>
    <row r="5" spans="1:2" ht="15">
      <c r="A5" s="23" t="s">
        <v>207</v>
      </c>
      <c r="B5">
        <f>SUM(B3:B4)</f>
        <v>4284.9596895158056</v>
      </c>
    </row>
    <row r="6" spans="1:2" ht="15">
      <c r="A6" s="23" t="s">
        <v>208</v>
      </c>
      <c r="B6">
        <f>B5/'Grazing Production'!B31</f>
        <v>428.49596895158055</v>
      </c>
    </row>
    <row r="7" spans="1:2" ht="15">
      <c r="A7" s="23" t="s">
        <v>68</v>
      </c>
      <c r="B7">
        <f>'Grazing Production'!B8</f>
        <v>734.79</v>
      </c>
    </row>
    <row r="8" spans="1:2" ht="15">
      <c r="A8" s="23" t="s">
        <v>212</v>
      </c>
      <c r="B8">
        <f>B6/B7</f>
        <v>0.58315432838168801</v>
      </c>
    </row>
    <row r="9" spans="1:2" ht="15">
      <c r="A9" s="23" t="s">
        <v>214</v>
      </c>
      <c r="B9">
        <f>'Grazing Production'!B4</f>
        <v>3.6</v>
      </c>
    </row>
    <row r="10" spans="1:2" ht="15">
      <c r="A10" s="23" t="s">
        <v>213</v>
      </c>
      <c r="B10">
        <f>B5/B9</f>
        <v>1190.2665804210571</v>
      </c>
    </row>
    <row r="11" spans="1:2" ht="15">
      <c r="A11" s="23" t="s">
        <v>432</v>
      </c>
      <c r="B11">
        <f>'Grazing Production'!B11</f>
        <v>87.674797679999983</v>
      </c>
    </row>
    <row r="12" spans="1:2" ht="15">
      <c r="A12" s="23" t="s">
        <v>433</v>
      </c>
      <c r="B12">
        <f>B6/B11</f>
        <v>4.8873334218064279</v>
      </c>
    </row>
  </sheetData>
  <sheetProtection algorithmName="SHA-512" hashValue="SwHFnv7gZbc7VoxesfjnUYVybFBtkoIwjDDXDTxU2xaFJHISQe+WRG8Q5C9NLeEFUK+i2SQjcxp0wELYTD/PXg==" saltValue="0VWRo0utX5AhyyTzBCYAL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2C439-9C9D-4FC7-89CF-512B76CF387D}">
  <dimension ref="A1:B4"/>
  <sheetViews>
    <sheetView workbookViewId="0">
      <selection activeCell="E17" sqref="E17"/>
    </sheetView>
  </sheetViews>
  <sheetFormatPr defaultRowHeight="14.25"/>
  <sheetData>
    <row r="1" spans="1:2" ht="15">
      <c r="B1" s="5" t="s">
        <v>75</v>
      </c>
    </row>
    <row r="2" spans="1:2" ht="15">
      <c r="A2" s="6" t="s">
        <v>76</v>
      </c>
      <c r="B2">
        <v>27.2</v>
      </c>
    </row>
    <row r="3" spans="1:2" ht="15">
      <c r="A3" s="6" t="s">
        <v>77</v>
      </c>
      <c r="B3">
        <v>265</v>
      </c>
    </row>
    <row r="4" spans="1:2" ht="15">
      <c r="A4" s="6" t="s">
        <v>78</v>
      </c>
      <c r="B4">
        <v>1</v>
      </c>
    </row>
  </sheetData>
  <sheetProtection algorithmName="SHA-512" hashValue="A4Bt69tJ0v2V8dRQbxon86v3XyvgnTh3plf3bB84l5MEgxrl3/7fjARlgmMNQqIWHBxOAaAD77Pxj2ems0AMOA==" saltValue="ps4hTKoy8cm/UQAt+H242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1DCD-D8CF-4577-A9EF-00B5FA9A8690}">
  <dimension ref="A1:K43"/>
  <sheetViews>
    <sheetView workbookViewId="0">
      <selection activeCell="F32" sqref="F32"/>
    </sheetView>
  </sheetViews>
  <sheetFormatPr defaultRowHeight="14.25"/>
  <cols>
    <col min="1" max="1" width="25.75" bestFit="1" customWidth="1"/>
  </cols>
  <sheetData>
    <row r="1" spans="1:11">
      <c r="B1" t="s">
        <v>197</v>
      </c>
      <c r="I1">
        <v>6.7</v>
      </c>
    </row>
    <row r="2" spans="1:11" ht="15.75">
      <c r="A2" s="49" t="s">
        <v>0</v>
      </c>
      <c r="B2" s="46">
        <f>'Producer Inputs and Outputs'!B4</f>
        <v>90</v>
      </c>
      <c r="I2">
        <v>0.5</v>
      </c>
      <c r="J2">
        <f>I2/(I1+I2)</f>
        <v>6.9444444444444448E-2</v>
      </c>
    </row>
    <row r="3" spans="1:11" ht="15.75">
      <c r="A3" s="49" t="s">
        <v>12</v>
      </c>
      <c r="B3" s="46">
        <f>B2</f>
        <v>90</v>
      </c>
      <c r="I3">
        <f>0.5/0.91</f>
        <v>0.54945054945054939</v>
      </c>
    </row>
    <row r="4" spans="1:11" ht="15.75">
      <c r="A4" s="49" t="s">
        <v>210</v>
      </c>
      <c r="B4" s="46">
        <f>'Producer Inputs and Outputs'!B9</f>
        <v>3.6</v>
      </c>
    </row>
    <row r="5" spans="1:11" ht="15.75">
      <c r="A5" s="49" t="s">
        <v>211</v>
      </c>
      <c r="B5" s="46">
        <f>B4*0.405</f>
        <v>1.4580000000000002</v>
      </c>
    </row>
    <row r="6" spans="1:11" ht="15.75">
      <c r="A6" s="49" t="s">
        <v>1</v>
      </c>
      <c r="B6" s="46">
        <f>'Producer Inputs and Outputs'!B5</f>
        <v>541.5</v>
      </c>
      <c r="I6">
        <f>I3*2.205</f>
        <v>1.2115384615384615</v>
      </c>
    </row>
    <row r="7" spans="1:11" ht="15.75">
      <c r="A7" s="49" t="s">
        <v>2</v>
      </c>
      <c r="B7" s="46">
        <f>B6*0.453592</f>
        <v>245.620068</v>
      </c>
    </row>
    <row r="8" spans="1:11" ht="15.75">
      <c r="A8" s="49" t="s">
        <v>3</v>
      </c>
      <c r="B8" s="46">
        <f>'Producer Inputs and Outputs'!B6</f>
        <v>734.79</v>
      </c>
    </row>
    <row r="9" spans="1:11" ht="15.75">
      <c r="A9" s="49" t="s">
        <v>4</v>
      </c>
      <c r="B9" s="46">
        <f>B8*0.453592</f>
        <v>333.29486567999999</v>
      </c>
    </row>
    <row r="10" spans="1:11" ht="15.75">
      <c r="A10" s="49" t="s">
        <v>13</v>
      </c>
      <c r="B10" s="46">
        <f>B8-B6</f>
        <v>193.28999999999996</v>
      </c>
    </row>
    <row r="11" spans="1:11" ht="15.75">
      <c r="A11" s="49" t="s">
        <v>14</v>
      </c>
      <c r="B11" s="46">
        <f>B10*0.453592</f>
        <v>87.674797679999983</v>
      </c>
      <c r="K11">
        <v>0.63629999999999998</v>
      </c>
    </row>
    <row r="12" spans="1:11" ht="15.75">
      <c r="A12" s="49" t="s">
        <v>5</v>
      </c>
      <c r="B12" s="46">
        <f>(B9-B7)/(B2)</f>
        <v>0.97416441866666648</v>
      </c>
    </row>
    <row r="13" spans="1:11" ht="15.75">
      <c r="A13" s="49" t="s">
        <v>15</v>
      </c>
      <c r="B13" s="46">
        <f>B36</f>
        <v>1.1161401136</v>
      </c>
    </row>
    <row r="14" spans="1:11" ht="15.75">
      <c r="A14" s="49" t="s">
        <v>201</v>
      </c>
      <c r="B14" s="46">
        <f>'Producer Inputs and Outputs'!B15</f>
        <v>0</v>
      </c>
    </row>
    <row r="15" spans="1:11" ht="15.75">
      <c r="A15" s="49" t="s">
        <v>202</v>
      </c>
      <c r="B15" s="46">
        <f>B14*0.453592</f>
        <v>0</v>
      </c>
    </row>
    <row r="16" spans="1:11" ht="15.75">
      <c r="A16" s="49" t="s">
        <v>16</v>
      </c>
      <c r="B16" s="50" t="s">
        <v>388</v>
      </c>
    </row>
    <row r="17" spans="1:3" ht="15.75">
      <c r="A17" s="49" t="s">
        <v>198</v>
      </c>
      <c r="B17" s="46">
        <v>3</v>
      </c>
    </row>
    <row r="18" spans="1:3" ht="15.75">
      <c r="A18" s="49" t="s">
        <v>199</v>
      </c>
      <c r="B18" s="46">
        <f>(B17/100)*(AVERAGE(B7,B9))</f>
        <v>8.6837240052000002</v>
      </c>
    </row>
    <row r="19" spans="1:3" ht="15.75">
      <c r="A19" s="49" t="s">
        <v>17</v>
      </c>
      <c r="B19" s="50" t="s">
        <v>389</v>
      </c>
    </row>
    <row r="20" spans="1:3" ht="15.75">
      <c r="A20" s="49" t="s">
        <v>200</v>
      </c>
      <c r="B20" s="46">
        <f>B15/(C38/100)</f>
        <v>0</v>
      </c>
    </row>
    <row r="21" spans="1:3" ht="15.75">
      <c r="A21" s="49" t="s">
        <v>6</v>
      </c>
      <c r="B21" s="46">
        <f>B20+B18</f>
        <v>8.6837240052000002</v>
      </c>
    </row>
    <row r="22" spans="1:3" ht="15.75">
      <c r="A22" s="49" t="s">
        <v>7</v>
      </c>
      <c r="B22" s="46">
        <f>B21/B12</f>
        <v>8.9140229706658403</v>
      </c>
    </row>
    <row r="23" spans="1:3" ht="15.75">
      <c r="A23" s="49" t="s">
        <v>21</v>
      </c>
      <c r="B23" s="46">
        <f>'Producer Inputs and Outputs'!B12</f>
        <v>1.2</v>
      </c>
    </row>
    <row r="24" spans="1:3" ht="15.75">
      <c r="A24" s="49" t="s">
        <v>8</v>
      </c>
      <c r="B24" s="46">
        <v>907.18499999999995</v>
      </c>
    </row>
    <row r="25" spans="1:3" ht="15.75">
      <c r="A25" s="49" t="s">
        <v>20</v>
      </c>
      <c r="B25" s="46">
        <f>B24*B23</f>
        <v>1088.6219999999998</v>
      </c>
    </row>
    <row r="26" spans="1:3" ht="15.75">
      <c r="A26" s="49" t="s">
        <v>9</v>
      </c>
      <c r="B26" s="46">
        <f>'Producer Inputs and Outputs'!B11/100</f>
        <v>0.7</v>
      </c>
    </row>
    <row r="27" spans="1:3" ht="15.75">
      <c r="A27" s="49" t="s">
        <v>10</v>
      </c>
      <c r="B27" s="46">
        <f>B18*(B2)</f>
        <v>781.53516046800007</v>
      </c>
    </row>
    <row r="28" spans="1:3" ht="15.75">
      <c r="A28" s="49" t="s">
        <v>11</v>
      </c>
      <c r="B28" s="46">
        <f>(B27*(B5/B31))/(((B25*B26)))</f>
        <v>0.149530883205996</v>
      </c>
      <c r="C28" t="s">
        <v>204</v>
      </c>
    </row>
    <row r="29" spans="1:3" ht="15.75">
      <c r="A29" s="49" t="s">
        <v>18</v>
      </c>
      <c r="B29" s="46">
        <f>B11/B28</f>
        <v>586.33237362222928</v>
      </c>
    </row>
    <row r="30" spans="1:3" ht="15.75">
      <c r="A30" s="49" t="s">
        <v>19</v>
      </c>
      <c r="B30" s="46">
        <f>B29*2.47105</f>
        <v>1448.8566118392096</v>
      </c>
    </row>
    <row r="31" spans="1:3" ht="15.75">
      <c r="A31" s="49" t="s">
        <v>74</v>
      </c>
      <c r="B31" s="46">
        <f>AVERAGE('Producer Inputs and Outputs'!B2:B3)</f>
        <v>10</v>
      </c>
    </row>
    <row r="34" spans="1:5" ht="15.75">
      <c r="A34" s="49" t="s">
        <v>191</v>
      </c>
      <c r="B34" t="s">
        <v>192</v>
      </c>
      <c r="C34" t="s">
        <v>193</v>
      </c>
    </row>
    <row r="35" spans="1:5" ht="15.75">
      <c r="A35" s="49" t="s">
        <v>194</v>
      </c>
      <c r="B35">
        <f>IFERROR(VLOOKUP('Producer Inputs and Outputs'!$B$10, 'Forage Library'!$B$3:$P$27,3, FALSE), 0)</f>
        <v>11</v>
      </c>
      <c r="C35">
        <f>IFERROR(VLOOKUP('Producer Inputs and Outputs'!$B$14, 'Forage Library'!$B$28:$P$105,3, FALSE), 0)</f>
        <v>9</v>
      </c>
      <c r="D35" t="s">
        <v>409</v>
      </c>
      <c r="E35">
        <f>(((B35/100)*((B18/B21))+((C35/100)*(B20/B21)))*100)</f>
        <v>11</v>
      </c>
    </row>
    <row r="36" spans="1:5" ht="15.75">
      <c r="A36" s="49" t="s">
        <v>195</v>
      </c>
      <c r="B36">
        <f>IFERROR(VLOOKUP('Producer Inputs and Outputs'!$B$10, 'Forage Library'!$B$3:$P$27,8, FALSE), 0)</f>
        <v>1.1161401136</v>
      </c>
      <c r="C36">
        <f>IFERROR(VLOOKUP('Producer Inputs and Outputs'!$B$14, 'Forage Library'!$B$28:$P$105,8, FALSE), 0)</f>
        <v>1.4378510875199997</v>
      </c>
    </row>
    <row r="37" spans="1:5" ht="15.75">
      <c r="A37" s="49" t="s">
        <v>196</v>
      </c>
      <c r="B37">
        <f>IFERROR(VLOOKUP('Producer Inputs and Outputs'!$B$10, 'Forage Library'!$B$3:$P$27,10, FALSE), 0)</f>
        <v>0.71279484978477059</v>
      </c>
      <c r="C37">
        <f>IFERROR(VLOOKUP('Producer Inputs and Outputs'!$B$14, 'Forage Library'!$B$28:$P$105,10, FALSE), 0)</f>
        <v>0.98438704325959503</v>
      </c>
    </row>
    <row r="38" spans="1:5" ht="15.75">
      <c r="A38" s="49" t="s">
        <v>203</v>
      </c>
      <c r="B38">
        <f>IFERROR(VLOOKUP('Producer Inputs and Outputs'!$B$10, 'Forage Library'!$B$3:$P$27,2, FALSE), 0)</f>
        <v>30</v>
      </c>
      <c r="C38">
        <f>IFERROR(VLOOKUP('Producer Inputs and Outputs'!$B$14, 'Forage Library'!$B$28:$P$105,2, FALSE), 0)</f>
        <v>87</v>
      </c>
    </row>
    <row r="39" spans="1:5" ht="15.75">
      <c r="A39" s="49" t="s">
        <v>279</v>
      </c>
      <c r="B39">
        <f>IFERROR(VLOOKUP('Producer Inputs and Outputs'!$B$10, 'Forage Library'!$B$3:$Q$27,16, FALSE), 0)</f>
        <v>73.17</v>
      </c>
      <c r="C39">
        <f>IFERROR(VLOOKUP('Producer Inputs and Outputs'!$B$14, 'Forage Library'!$B$28:$Q$105,16, FALSE), 0)</f>
        <v>88.85</v>
      </c>
      <c r="D39" t="s">
        <v>407</v>
      </c>
      <c r="E39">
        <f>(((B39/100)*((B18/B21))+((C39/100)*(B20/B21)))*100)</f>
        <v>73.17</v>
      </c>
    </row>
    <row r="40" spans="1:5" ht="15.75">
      <c r="A40" s="49" t="s">
        <v>376</v>
      </c>
      <c r="B40">
        <f>IFERROR(VLOOKUP('Producer Inputs and Outputs'!$B$10, 'Forage Library'!$B$3:$P$27,15, FALSE), 0)</f>
        <v>3.2</v>
      </c>
      <c r="C40">
        <f>IFERROR(VLOOKUP('Producer Inputs and Outputs'!$B$14, 'Forage Library'!$B$28:$P$105,15, FALSE), 0)</f>
        <v>3.8</v>
      </c>
      <c r="D40" t="s">
        <v>408</v>
      </c>
      <c r="E40">
        <f>(((B40/100)*((B18)/B21))+((C40/100)*(B20/B21)))*100</f>
        <v>3.2</v>
      </c>
    </row>
    <row r="41" spans="1:5" ht="15.75">
      <c r="A41" s="49" t="s">
        <v>392</v>
      </c>
      <c r="B41">
        <f>((B18-B20)*(B40/100))</f>
        <v>0.27787916816640001</v>
      </c>
      <c r="C41">
        <f>(B20*(C40/100))</f>
        <v>0</v>
      </c>
    </row>
    <row r="42" spans="1:5" ht="15.75">
      <c r="A42" s="49" t="s">
        <v>411</v>
      </c>
      <c r="B42">
        <f>IFERROR(VLOOKUP('Producer Inputs and Outputs'!$B$10, 'Forage Library'!$B$3:$R$27,17, FALSE), 0)</f>
        <v>14.958423253290954</v>
      </c>
      <c r="C42">
        <f>IFERROR(VLOOKUP('Producer Inputs and Outputs'!$B$14, 'Forage Library'!$B$28:$R$105,17, FALSE), 0)</f>
        <v>15.758714072623267</v>
      </c>
      <c r="D42" t="s">
        <v>412</v>
      </c>
      <c r="E42">
        <f>(((B42/100)*((B18)/B21))+((C42/100)*(B20/B21)))*100</f>
        <v>14.958423253290952</v>
      </c>
    </row>
    <row r="43" spans="1:5">
      <c r="D43" s="46" t="s">
        <v>413</v>
      </c>
      <c r="E43">
        <f>E42*B21</f>
        <v>129.89481908454454</v>
      </c>
    </row>
  </sheetData>
  <sheetProtection algorithmName="SHA-512" hashValue="dvwMLaWOdreu58m2fo7+0HqAsxA3l19GRFUfdb3hglc+0LDkL0W11UaAdK9ZjX/JKycCQ1gSOBMYnUxCDguIuA==" saltValue="lX2sPPhnwIsqg2IrbfEW1w=="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949BD-4805-4815-B9E8-C19FD4B92B28}">
  <dimension ref="A1:M40"/>
  <sheetViews>
    <sheetView topLeftCell="A24" workbookViewId="0">
      <selection activeCell="C34" sqref="C34"/>
    </sheetView>
  </sheetViews>
  <sheetFormatPr defaultRowHeight="14.25"/>
  <cols>
    <col min="2" max="2" width="23.25" bestFit="1" customWidth="1"/>
    <col min="3" max="3" width="71.625" bestFit="1" customWidth="1"/>
    <col min="4" max="4" width="13.75" bestFit="1" customWidth="1"/>
    <col min="5" max="5" width="67.125" bestFit="1" customWidth="1"/>
    <col min="7" max="7" width="9.75" bestFit="1" customWidth="1"/>
  </cols>
  <sheetData>
    <row r="1" spans="1:13" ht="15.75">
      <c r="A1" s="3" t="s">
        <v>63</v>
      </c>
    </row>
    <row r="2" spans="1:13">
      <c r="A2" t="s">
        <v>22</v>
      </c>
      <c r="G2" t="s">
        <v>391</v>
      </c>
      <c r="H2" t="str">
        <f>'Producer Inputs and Outputs'!B16</f>
        <v>no</v>
      </c>
      <c r="I2">
        <f>IF(H2="yes",5.796,6.3)</f>
        <v>6.3</v>
      </c>
      <c r="K2" t="s">
        <v>425</v>
      </c>
      <c r="L2">
        <f>'Grazing Production'!E40-3</f>
        <v>0.20000000000000018</v>
      </c>
      <c r="M2">
        <f>0.047*L2</f>
        <v>9.400000000000009E-3</v>
      </c>
    </row>
    <row r="5" spans="1:13">
      <c r="A5" s="46"/>
      <c r="B5" s="46" t="s">
        <v>23</v>
      </c>
      <c r="C5" s="46" t="s">
        <v>24</v>
      </c>
      <c r="D5" s="46" t="s">
        <v>25</v>
      </c>
      <c r="E5" s="46" t="s">
        <v>26</v>
      </c>
      <c r="F5" s="46"/>
    </row>
    <row r="6" spans="1:13" ht="15">
      <c r="A6" s="46"/>
      <c r="B6" s="46" t="s">
        <v>28</v>
      </c>
      <c r="C6" s="46" t="s">
        <v>29</v>
      </c>
      <c r="D6" s="46" t="s">
        <v>30</v>
      </c>
      <c r="E6" s="46" t="s">
        <v>31</v>
      </c>
      <c r="F6" s="47"/>
      <c r="H6" s="46" t="s">
        <v>28</v>
      </c>
      <c r="I6">
        <f>I2-M2</f>
        <v>6.2905999999999995</v>
      </c>
    </row>
    <row r="7" spans="1:13">
      <c r="A7" s="46"/>
      <c r="B7" s="46" t="s">
        <v>32</v>
      </c>
      <c r="C7" s="46" t="s">
        <v>33</v>
      </c>
      <c r="D7" s="46" t="s">
        <v>34</v>
      </c>
      <c r="E7" s="46" t="s">
        <v>35</v>
      </c>
      <c r="F7" s="46"/>
    </row>
    <row r="8" spans="1:13" ht="15">
      <c r="A8" s="46"/>
      <c r="B8" s="48" t="s">
        <v>36</v>
      </c>
      <c r="C8" s="46" t="s">
        <v>37</v>
      </c>
      <c r="D8" s="46" t="s">
        <v>34</v>
      </c>
      <c r="E8" s="46" t="s">
        <v>38</v>
      </c>
      <c r="F8" s="47"/>
    </row>
    <row r="9" spans="1:13" ht="15">
      <c r="A9" s="46"/>
      <c r="B9" s="46" t="s">
        <v>39</v>
      </c>
      <c r="C9" s="46" t="s">
        <v>40</v>
      </c>
      <c r="D9" s="46" t="s">
        <v>34</v>
      </c>
      <c r="E9" s="46" t="s">
        <v>41</v>
      </c>
      <c r="F9" s="47"/>
    </row>
    <row r="10" spans="1:13" ht="15">
      <c r="A10" s="46"/>
      <c r="B10" s="46" t="s">
        <v>42</v>
      </c>
      <c r="C10" s="46" t="s">
        <v>43</v>
      </c>
      <c r="D10" s="46" t="s">
        <v>34</v>
      </c>
      <c r="E10" s="46" t="s">
        <v>44</v>
      </c>
      <c r="F10" s="47"/>
    </row>
    <row r="11" spans="1:13" ht="15">
      <c r="A11" s="46"/>
      <c r="B11" s="46" t="s">
        <v>45</v>
      </c>
      <c r="C11" s="46" t="s">
        <v>46</v>
      </c>
      <c r="D11" s="46" t="s">
        <v>34</v>
      </c>
      <c r="E11" s="46" t="s">
        <v>47</v>
      </c>
      <c r="F11" s="47"/>
    </row>
    <row r="12" spans="1:13" ht="15">
      <c r="A12" s="46"/>
      <c r="B12" s="46" t="s">
        <v>48</v>
      </c>
      <c r="C12" s="46" t="s">
        <v>49</v>
      </c>
      <c r="D12" s="46" t="s">
        <v>34</v>
      </c>
      <c r="E12" s="46" t="s">
        <v>50</v>
      </c>
      <c r="F12" s="47"/>
    </row>
    <row r="13" spans="1:13">
      <c r="A13" s="46"/>
      <c r="B13" s="46" t="s">
        <v>51</v>
      </c>
      <c r="C13" s="46" t="s">
        <v>52</v>
      </c>
      <c r="D13" s="46" t="s">
        <v>53</v>
      </c>
      <c r="E13" s="46" t="s">
        <v>54</v>
      </c>
      <c r="F13" s="46"/>
    </row>
    <row r="14" spans="1:13" ht="15">
      <c r="A14" s="46"/>
      <c r="B14" s="46" t="s">
        <v>55</v>
      </c>
      <c r="C14" s="46" t="s">
        <v>56</v>
      </c>
      <c r="D14" s="46" t="s">
        <v>34</v>
      </c>
      <c r="E14" s="46" t="s">
        <v>57</v>
      </c>
      <c r="F14" s="47"/>
    </row>
    <row r="15" spans="1:13">
      <c r="A15" s="46"/>
      <c r="B15" s="46" t="s">
        <v>58</v>
      </c>
      <c r="C15" s="46" t="s">
        <v>59</v>
      </c>
      <c r="D15" s="46" t="s">
        <v>53</v>
      </c>
      <c r="E15" s="46" t="s">
        <v>53</v>
      </c>
      <c r="F15" s="46"/>
    </row>
    <row r="16" spans="1:13" ht="15">
      <c r="A16" s="46"/>
      <c r="B16" s="46" t="s">
        <v>60</v>
      </c>
      <c r="C16" s="46" t="s">
        <v>61</v>
      </c>
      <c r="D16" s="46" t="s">
        <v>53</v>
      </c>
      <c r="E16" s="46" t="s">
        <v>62</v>
      </c>
      <c r="F16" s="47"/>
    </row>
    <row r="19" spans="1:4">
      <c r="A19" t="s">
        <v>64</v>
      </c>
    </row>
    <row r="20" spans="1:4" ht="15">
      <c r="B20" t="s">
        <v>65</v>
      </c>
      <c r="C20">
        <v>0.32200000000000001</v>
      </c>
      <c r="D20" s="1"/>
    </row>
    <row r="21" spans="1:4" ht="15">
      <c r="B21" t="s">
        <v>36</v>
      </c>
      <c r="C21">
        <f>C20*('Grazing Production'!B9)^0.75</f>
        <v>25.117553694462632</v>
      </c>
      <c r="D21" s="4"/>
    </row>
    <row r="22" spans="1:4" ht="15">
      <c r="B22" t="s">
        <v>66</v>
      </c>
      <c r="C22">
        <v>0.17</v>
      </c>
      <c r="D22" s="1"/>
    </row>
    <row r="23" spans="1:4" ht="15">
      <c r="B23" t="s">
        <v>39</v>
      </c>
      <c r="C23">
        <f>C22*C21</f>
        <v>4.2699841280586481</v>
      </c>
      <c r="D23" s="1"/>
    </row>
    <row r="24" spans="1:4" ht="15">
      <c r="B24" t="s">
        <v>42</v>
      </c>
      <c r="C24">
        <v>0</v>
      </c>
      <c r="D24" s="1"/>
    </row>
    <row r="25" spans="1:4" ht="15">
      <c r="B25" t="s">
        <v>45</v>
      </c>
      <c r="C25">
        <v>0</v>
      </c>
      <c r="D25" s="1"/>
    </row>
    <row r="26" spans="1:4">
      <c r="B26" t="s">
        <v>48</v>
      </c>
      <c r="C26">
        <v>0</v>
      </c>
    </row>
    <row r="27" spans="1:4" ht="15">
      <c r="B27" t="s">
        <v>67</v>
      </c>
      <c r="C27">
        <f>'Grazing Production'!E39</f>
        <v>73.17</v>
      </c>
      <c r="D27" s="1"/>
    </row>
    <row r="28" spans="1:4">
      <c r="B28" t="s">
        <v>51</v>
      </c>
      <c r="C28">
        <f>(1.123-(4.092*10^-3*C27)+(1.126*10^-5*(C27^2))-(25.4/C27))</f>
        <v>0.53673589391261967</v>
      </c>
    </row>
    <row r="29" spans="1:4" ht="15">
      <c r="B29" t="s">
        <v>68</v>
      </c>
      <c r="C29">
        <f>AVERAGE('Grazing Production'!B7,'Grazing Production'!B9)</f>
        <v>289.45746684</v>
      </c>
      <c r="D29" s="1"/>
    </row>
    <row r="30" spans="1:4" ht="15">
      <c r="B30" t="s">
        <v>69</v>
      </c>
      <c r="C30">
        <f>1350*0.453592</f>
        <v>612.3492</v>
      </c>
      <c r="D30" s="1"/>
    </row>
    <row r="31" spans="1:4">
      <c r="B31" t="s">
        <v>70</v>
      </c>
      <c r="C31">
        <f>'Grazing Production'!B12</f>
        <v>0.97416441866666648</v>
      </c>
    </row>
    <row r="32" spans="1:4">
      <c r="B32" t="s">
        <v>55</v>
      </c>
      <c r="C32">
        <f>22.02*(C29/(1*C30))^0.75*(C31^1.097)</f>
        <v>12.197929214806237</v>
      </c>
    </row>
    <row r="33" spans="2:5">
      <c r="B33" t="s">
        <v>58</v>
      </c>
      <c r="C33">
        <v>0</v>
      </c>
    </row>
    <row r="34" spans="2:5">
      <c r="B34" t="s">
        <v>60</v>
      </c>
      <c r="C34">
        <f>1.164-(5.16*10^-3*C27)+(1.308*10^-5*C27^2)-(37.4/C27)</f>
        <v>0.34533269889421947</v>
      </c>
    </row>
    <row r="35" spans="2:5">
      <c r="B35" t="s">
        <v>32</v>
      </c>
      <c r="C35">
        <f>(((C21+C23+C24+C25+C26)/C28)+((C32+C33)/C34))/(C27/100)</f>
        <v>123.1031545952108</v>
      </c>
      <c r="D35">
        <f>'Grazing Production'!E43</f>
        <v>129.89481908454454</v>
      </c>
      <c r="E35" t="s">
        <v>415</v>
      </c>
    </row>
    <row r="36" spans="2:5">
      <c r="B36" t="s">
        <v>28</v>
      </c>
      <c r="C36" s="2">
        <f>(C35*(I6/100)*(SUM('Grazing Production'!B2))/55.65)</f>
        <v>12.523871228516974</v>
      </c>
      <c r="D36" s="2">
        <f>(D35*(I6/100)*(('Grazing Production'!B2))/55.65)</f>
        <v>13.214819659297614</v>
      </c>
    </row>
    <row r="38" spans="2:5">
      <c r="B38" t="s">
        <v>71</v>
      </c>
      <c r="C38">
        <f>C36*'Grazing Production'!B31</f>
        <v>125.23871228516974</v>
      </c>
      <c r="D38">
        <f>D36*'Grazing Production'!B31</f>
        <v>132.14819659297615</v>
      </c>
    </row>
    <row r="39" spans="2:5">
      <c r="B39" t="s">
        <v>72</v>
      </c>
      <c r="C39">
        <f>C38*'GWP Inputs'!B2</f>
        <v>3406.492974156617</v>
      </c>
      <c r="D39">
        <f>D38*'GWP Inputs'!B2</f>
        <v>3594.4309473289513</v>
      </c>
    </row>
    <row r="40" spans="2:5">
      <c r="B40" t="s">
        <v>73</v>
      </c>
      <c r="C40" t="e">
        <f>C39/'Grazing Production'!#REF!</f>
        <v>#REF!</v>
      </c>
    </row>
  </sheetData>
  <sheetProtection algorithmName="SHA-512" hashValue="NNHroC7L798jEHzsYm0TFgoK9Yyr9wIbvgYNveFGC1f/NJxFP6sf9LiU1fH7Q113mDKZm/D9oM061LPzoaoMAw==" saltValue="mDWOpk1Bmy8ET2r1gVxb2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4FBC-395F-4ABB-9D45-3FB761922271}">
  <dimension ref="A1:G101"/>
  <sheetViews>
    <sheetView topLeftCell="A89" workbookViewId="0">
      <selection activeCell="D93" sqref="D93"/>
    </sheetView>
  </sheetViews>
  <sheetFormatPr defaultRowHeight="14.25"/>
  <cols>
    <col min="1" max="1" width="18.625" bestFit="1" customWidth="1"/>
    <col min="2" max="2" width="16.25" customWidth="1"/>
    <col min="3" max="3" width="33.625" bestFit="1" customWidth="1"/>
    <col min="4" max="4" width="91.625" bestFit="1" customWidth="1"/>
    <col min="5" max="5" width="13.875" customWidth="1"/>
    <col min="6" max="6" width="54.875" bestFit="1" customWidth="1"/>
  </cols>
  <sheetData>
    <row r="1" spans="1:7">
      <c r="A1" t="s">
        <v>80</v>
      </c>
    </row>
    <row r="3" spans="1:7" ht="23.25">
      <c r="A3" s="8" t="s">
        <v>81</v>
      </c>
    </row>
    <row r="4" spans="1:7" ht="23.25">
      <c r="A4" s="8"/>
      <c r="B4" s="1" t="s">
        <v>82</v>
      </c>
    </row>
    <row r="6" spans="1:7" ht="15.75">
      <c r="B6" s="40"/>
      <c r="C6" s="41" t="s">
        <v>23</v>
      </c>
      <c r="D6" s="41" t="s">
        <v>83</v>
      </c>
      <c r="E6" s="41" t="s">
        <v>25</v>
      </c>
      <c r="F6" s="41" t="s">
        <v>26</v>
      </c>
      <c r="G6" s="46"/>
    </row>
    <row r="7" spans="1:7" ht="15">
      <c r="B7" s="41"/>
      <c r="C7" s="41" t="s">
        <v>84</v>
      </c>
      <c r="D7" s="41" t="s">
        <v>85</v>
      </c>
      <c r="E7" s="41" t="s">
        <v>86</v>
      </c>
      <c r="F7" s="42" t="s">
        <v>87</v>
      </c>
      <c r="G7" s="1"/>
    </row>
    <row r="8" spans="1:7" ht="15">
      <c r="B8" s="41"/>
      <c r="C8" s="41" t="s">
        <v>88</v>
      </c>
      <c r="D8" s="41" t="s">
        <v>89</v>
      </c>
      <c r="E8" s="41" t="s">
        <v>90</v>
      </c>
      <c r="F8" s="42">
        <v>100</v>
      </c>
      <c r="G8" s="1"/>
    </row>
    <row r="9" spans="1:7">
      <c r="B9" s="41"/>
      <c r="C9" s="41" t="s">
        <v>91</v>
      </c>
      <c r="D9" s="41" t="s">
        <v>92</v>
      </c>
      <c r="E9" s="41" t="s">
        <v>93</v>
      </c>
      <c r="F9" s="41" t="s">
        <v>94</v>
      </c>
      <c r="G9" s="9"/>
    </row>
    <row r="10" spans="1:7">
      <c r="B10" s="41"/>
      <c r="C10" s="41" t="s">
        <v>95</v>
      </c>
      <c r="D10" s="41" t="s">
        <v>96</v>
      </c>
      <c r="E10" s="41"/>
      <c r="F10" s="41"/>
    </row>
    <row r="11" spans="1:7">
      <c r="B11" s="41"/>
      <c r="C11" s="41" t="s">
        <v>97</v>
      </c>
      <c r="D11" s="41" t="s">
        <v>98</v>
      </c>
      <c r="E11" s="41"/>
      <c r="F11" s="41"/>
    </row>
    <row r="12" spans="1:7">
      <c r="B12" s="41"/>
      <c r="C12" s="43">
        <v>18.45</v>
      </c>
      <c r="D12" s="41" t="s">
        <v>99</v>
      </c>
      <c r="E12" s="41"/>
      <c r="F12" s="41"/>
    </row>
    <row r="13" spans="1:7">
      <c r="B13" s="41"/>
      <c r="C13" s="41" t="s">
        <v>100</v>
      </c>
      <c r="D13" s="41" t="s">
        <v>422</v>
      </c>
      <c r="E13" s="41" t="s">
        <v>101</v>
      </c>
      <c r="F13" s="41"/>
    </row>
    <row r="14" spans="1:7">
      <c r="B14" s="44"/>
      <c r="C14" s="41" t="s">
        <v>102</v>
      </c>
      <c r="D14" s="41" t="s">
        <v>103</v>
      </c>
      <c r="E14" s="41"/>
      <c r="F14" s="41"/>
    </row>
    <row r="15" spans="1:7">
      <c r="B15" s="41"/>
      <c r="C15" s="41" t="s">
        <v>104</v>
      </c>
      <c r="D15" s="41" t="s">
        <v>105</v>
      </c>
      <c r="E15" s="41"/>
      <c r="F15" s="41"/>
    </row>
    <row r="16" spans="1:7">
      <c r="B16" s="44"/>
      <c r="C16" s="41" t="s">
        <v>106</v>
      </c>
      <c r="D16" s="41" t="s">
        <v>107</v>
      </c>
      <c r="E16" s="41"/>
      <c r="F16" s="41">
        <v>0.01</v>
      </c>
    </row>
    <row r="19" spans="1:4" ht="15.75">
      <c r="B19" s="3" t="s">
        <v>64</v>
      </c>
      <c r="C19" s="10" t="s">
        <v>108</v>
      </c>
      <c r="D19" s="11">
        <v>0.01</v>
      </c>
    </row>
    <row r="20" spans="1:4">
      <c r="C20" s="10" t="s">
        <v>109</v>
      </c>
      <c r="D20" s="12">
        <v>1</v>
      </c>
    </row>
    <row r="21" spans="1:4">
      <c r="C21" s="10" t="s">
        <v>67</v>
      </c>
      <c r="D21" s="11">
        <f>'Pature Enteric Methane'!C27</f>
        <v>73.17</v>
      </c>
    </row>
    <row r="22" spans="1:4">
      <c r="C22" s="10" t="s">
        <v>32</v>
      </c>
      <c r="D22" s="11">
        <f>'Pature Enteric Methane'!D35</f>
        <v>129.89481908454454</v>
      </c>
    </row>
    <row r="23" spans="1:4">
      <c r="C23" s="10" t="s">
        <v>102</v>
      </c>
      <c r="D23" s="11">
        <v>0.17</v>
      </c>
    </row>
    <row r="24" spans="1:4">
      <c r="C24" s="10" t="s">
        <v>97</v>
      </c>
      <c r="D24" s="14">
        <v>0.185</v>
      </c>
    </row>
    <row r="25" spans="1:4">
      <c r="C25" s="10" t="s">
        <v>95</v>
      </c>
      <c r="D25" s="11">
        <f>0.04*D22</f>
        <v>5.1957927633817818</v>
      </c>
    </row>
    <row r="26" spans="1:4">
      <c r="C26" s="10" t="s">
        <v>91</v>
      </c>
      <c r="D26" s="11">
        <f>((D22*(1-(D21/100))+(D25))*((1-D24)/18.45))</f>
        <v>1.7689949468763435</v>
      </c>
    </row>
    <row r="27" spans="1:4">
      <c r="C27" s="10" t="s">
        <v>110</v>
      </c>
      <c r="D27" s="11">
        <f>(D26*('Grazing Production'!B2))*(D23*(0.67)*((D19)/100))</f>
        <v>1.8133967200429401E-3</v>
      </c>
    </row>
    <row r="28" spans="1:4">
      <c r="C28" s="10" t="s">
        <v>111</v>
      </c>
      <c r="D28" s="11">
        <f>D27*100</f>
        <v>0.18133967200429402</v>
      </c>
    </row>
    <row r="29" spans="1:4">
      <c r="C29" s="10" t="s">
        <v>112</v>
      </c>
      <c r="D29" s="13">
        <f>D28*'GWP Inputs'!B2</f>
        <v>4.9324390785167971</v>
      </c>
    </row>
    <row r="30" spans="1:4">
      <c r="C30" s="39" t="s">
        <v>73</v>
      </c>
      <c r="D30" s="39">
        <f>D29/'Grazing Production'!B31</f>
        <v>0.49324390785167971</v>
      </c>
    </row>
    <row r="31" spans="1:4" ht="23.25">
      <c r="A31" s="8" t="s">
        <v>113</v>
      </c>
    </row>
    <row r="32" spans="1:4">
      <c r="A32" t="s">
        <v>114</v>
      </c>
    </row>
    <row r="34" spans="1:7" ht="15">
      <c r="A34" s="1"/>
      <c r="B34" s="1"/>
    </row>
    <row r="35" spans="1:7" ht="15">
      <c r="B35" s="1"/>
    </row>
    <row r="36" spans="1:7" ht="15">
      <c r="B36" s="1"/>
    </row>
    <row r="37" spans="1:7" ht="15">
      <c r="B37" s="1"/>
    </row>
    <row r="39" spans="1:7" ht="15.75">
      <c r="B39" s="45"/>
      <c r="C39" s="41" t="s">
        <v>23</v>
      </c>
      <c r="D39" s="41" t="s">
        <v>83</v>
      </c>
      <c r="E39" s="41" t="s">
        <v>25</v>
      </c>
      <c r="F39" s="41" t="s">
        <v>26</v>
      </c>
      <c r="G39" s="46" t="s">
        <v>27</v>
      </c>
    </row>
    <row r="40" spans="1:7" ht="15.75">
      <c r="B40" s="45"/>
      <c r="C40" s="41"/>
      <c r="D40" s="41"/>
      <c r="E40" s="41"/>
      <c r="F40" s="41"/>
      <c r="G40" s="46"/>
    </row>
    <row r="41" spans="1:7">
      <c r="B41" s="41"/>
      <c r="C41" s="41" t="s">
        <v>115</v>
      </c>
      <c r="D41" s="41" t="s">
        <v>116</v>
      </c>
      <c r="E41" s="41"/>
      <c r="F41" s="41"/>
      <c r="G41" s="46"/>
    </row>
    <row r="42" spans="1:7">
      <c r="B42" s="41"/>
      <c r="C42" s="41" t="s">
        <v>117</v>
      </c>
      <c r="D42" s="41" t="s">
        <v>118</v>
      </c>
      <c r="E42" s="41"/>
      <c r="F42" s="41"/>
      <c r="G42" s="46"/>
    </row>
    <row r="43" spans="1:7">
      <c r="B43" s="41"/>
      <c r="C43" s="41" t="s">
        <v>119</v>
      </c>
      <c r="D43" s="41" t="s">
        <v>120</v>
      </c>
      <c r="E43" s="41"/>
      <c r="F43" s="41"/>
      <c r="G43" s="46"/>
    </row>
    <row r="44" spans="1:7">
      <c r="B44" s="41"/>
      <c r="C44" s="41" t="s">
        <v>121</v>
      </c>
      <c r="D44" s="41" t="s">
        <v>122</v>
      </c>
      <c r="E44" s="41" t="s">
        <v>123</v>
      </c>
      <c r="F44" s="41"/>
      <c r="G44" s="46"/>
    </row>
    <row r="45" spans="1:7">
      <c r="B45" s="41"/>
      <c r="C45" s="41" t="s">
        <v>121</v>
      </c>
      <c r="D45" s="41" t="s">
        <v>120</v>
      </c>
      <c r="E45" s="41" t="s">
        <v>124</v>
      </c>
      <c r="F45" s="41" t="s">
        <v>125</v>
      </c>
      <c r="G45" s="46"/>
    </row>
    <row r="46" spans="1:7">
      <c r="B46" s="41"/>
      <c r="C46" s="41" t="s">
        <v>126</v>
      </c>
      <c r="D46" s="41" t="s">
        <v>127</v>
      </c>
      <c r="E46" s="41" t="s">
        <v>128</v>
      </c>
      <c r="F46" s="41" t="s">
        <v>129</v>
      </c>
      <c r="G46" s="46"/>
    </row>
    <row r="47" spans="1:7">
      <c r="B47" s="41"/>
      <c r="C47" s="41" t="s">
        <v>130</v>
      </c>
      <c r="D47" s="41" t="s">
        <v>418</v>
      </c>
      <c r="E47" s="41" t="s">
        <v>131</v>
      </c>
      <c r="F47" s="41">
        <v>0.02</v>
      </c>
      <c r="G47" s="46"/>
    </row>
    <row r="48" spans="1:7">
      <c r="B48" s="41"/>
      <c r="C48" s="41" t="s">
        <v>132</v>
      </c>
      <c r="D48" s="41" t="s">
        <v>133</v>
      </c>
      <c r="E48" s="41" t="s">
        <v>134</v>
      </c>
      <c r="F48" s="41" t="s">
        <v>135</v>
      </c>
      <c r="G48" s="46"/>
    </row>
    <row r="49" spans="2:7">
      <c r="B49" s="44"/>
      <c r="C49" s="41" t="s">
        <v>88</v>
      </c>
      <c r="D49" s="41" t="s">
        <v>136</v>
      </c>
      <c r="E49" s="41">
        <v>100</v>
      </c>
      <c r="F49" s="41"/>
      <c r="G49" s="46"/>
    </row>
    <row r="50" spans="2:7">
      <c r="B50" s="44"/>
      <c r="C50" s="41" t="s">
        <v>137</v>
      </c>
      <c r="D50" s="41" t="s">
        <v>138</v>
      </c>
      <c r="E50" s="41"/>
      <c r="F50" s="41"/>
      <c r="G50" s="46"/>
    </row>
    <row r="51" spans="2:7">
      <c r="B51" s="41"/>
      <c r="C51" s="41" t="s">
        <v>139</v>
      </c>
      <c r="D51" s="41" t="s">
        <v>140</v>
      </c>
      <c r="E51" s="41" t="s">
        <v>141</v>
      </c>
      <c r="F51" s="41" t="s">
        <v>142</v>
      </c>
      <c r="G51" s="46"/>
    </row>
    <row r="52" spans="2:7" ht="15">
      <c r="B52" s="41"/>
      <c r="C52" s="41" t="s">
        <v>143</v>
      </c>
      <c r="D52" s="41" t="s">
        <v>144</v>
      </c>
      <c r="E52" s="41" t="s">
        <v>145</v>
      </c>
      <c r="F52" s="41" t="s">
        <v>146</v>
      </c>
      <c r="G52" s="46"/>
    </row>
    <row r="53" spans="2:7" ht="15">
      <c r="B53" s="41"/>
      <c r="C53" s="41" t="s">
        <v>147</v>
      </c>
      <c r="D53" s="41" t="s">
        <v>420</v>
      </c>
      <c r="E53" s="41" t="s">
        <v>145</v>
      </c>
      <c r="F53" s="41" t="s">
        <v>148</v>
      </c>
      <c r="G53" s="46"/>
    </row>
    <row r="55" spans="2:7" ht="15.75">
      <c r="B55" s="3" t="s">
        <v>64</v>
      </c>
      <c r="C55" s="7" t="s">
        <v>149</v>
      </c>
      <c r="D55" s="14">
        <f>'Pature Enteric Methane'!C31</f>
        <v>0.97416441866666648</v>
      </c>
      <c r="E55" s="15"/>
      <c r="F55" s="16"/>
    </row>
    <row r="56" spans="2:7" ht="15">
      <c r="C56" s="7" t="s">
        <v>150</v>
      </c>
      <c r="D56" s="14">
        <f>'Pature Enteric Methane'!C32</f>
        <v>12.197929214806237</v>
      </c>
      <c r="E56" s="15"/>
      <c r="F56" s="16"/>
    </row>
    <row r="57" spans="2:7" ht="15">
      <c r="C57" s="7" t="s">
        <v>151</v>
      </c>
      <c r="D57" s="17">
        <f>D55*(268-((7.03*D56)/D55))/6.25</f>
        <v>28.051939491612607</v>
      </c>
      <c r="E57" s="15"/>
    </row>
    <row r="58" spans="2:7" ht="15">
      <c r="C58" s="7" t="s">
        <v>152</v>
      </c>
      <c r="D58" s="14">
        <f>D57*365</f>
        <v>10238.957914438603</v>
      </c>
      <c r="E58" s="15"/>
    </row>
    <row r="59" spans="2:7" ht="15">
      <c r="C59" s="7" t="s">
        <v>153</v>
      </c>
      <c r="D59" s="14">
        <v>0.14499999999999999</v>
      </c>
      <c r="E59" s="15"/>
    </row>
    <row r="60" spans="2:7" ht="15">
      <c r="C60" s="7" t="s">
        <v>154</v>
      </c>
      <c r="D60" s="14">
        <f>'Grazing Production'!E35</f>
        <v>11</v>
      </c>
      <c r="E60" s="1"/>
    </row>
    <row r="61" spans="2:7" ht="15">
      <c r="C61" s="7" t="s">
        <v>155</v>
      </c>
      <c r="D61" s="14">
        <f>'Pature Enteric Methane'!D35</f>
        <v>129.89481908454454</v>
      </c>
      <c r="E61" s="1"/>
    </row>
    <row r="62" spans="2:7" ht="15">
      <c r="C62" s="7" t="s">
        <v>156</v>
      </c>
      <c r="D62" s="14">
        <f>(D61/18.45)*((D60/100)/6.25)</f>
        <v>0.12391050492617799</v>
      </c>
      <c r="E62" s="1"/>
    </row>
    <row r="63" spans="2:7" ht="15">
      <c r="C63" s="7" t="s">
        <v>157</v>
      </c>
      <c r="D63" s="14">
        <f>D62*(SUM('Grazing Production'!B2))</f>
        <v>11.151945443356018</v>
      </c>
      <c r="E63" s="1"/>
    </row>
    <row r="64" spans="2:7" ht="15">
      <c r="C64" s="7" t="s">
        <v>139</v>
      </c>
      <c r="D64" s="14">
        <f>D63*(1-D59)</f>
        <v>9.5349133540693956</v>
      </c>
      <c r="E64" s="1"/>
    </row>
    <row r="65" spans="1:6" ht="15">
      <c r="C65" s="7" t="s">
        <v>158</v>
      </c>
      <c r="D65" s="14">
        <v>81.5</v>
      </c>
      <c r="E65" s="1"/>
    </row>
    <row r="66" spans="1:6" ht="15">
      <c r="C66" s="7" t="s">
        <v>159</v>
      </c>
      <c r="D66" s="14">
        <f>D64*'Grazing Production'!B31</f>
        <v>95.349133540693956</v>
      </c>
      <c r="E66" s="1"/>
    </row>
    <row r="67" spans="1:6" ht="15">
      <c r="C67" s="7" t="s">
        <v>130</v>
      </c>
      <c r="D67" s="14">
        <v>0.02</v>
      </c>
      <c r="E67" s="1"/>
    </row>
    <row r="68" spans="1:6" ht="15">
      <c r="C68" s="7" t="s">
        <v>126</v>
      </c>
      <c r="D68" s="14">
        <f>D66*D67</f>
        <v>1.9069826708138791</v>
      </c>
      <c r="E68" s="1"/>
    </row>
    <row r="69" spans="1:6" ht="15">
      <c r="C69" s="7" t="s">
        <v>121</v>
      </c>
      <c r="D69" s="14">
        <f>0+0+D68</f>
        <v>1.9069826708138791</v>
      </c>
      <c r="E69" s="1"/>
    </row>
    <row r="70" spans="1:6" ht="15">
      <c r="C70" s="7" t="s">
        <v>160</v>
      </c>
      <c r="D70" s="14">
        <f>D69*(44/28)</f>
        <v>2.9966870541360957</v>
      </c>
      <c r="E70" s="1"/>
    </row>
    <row r="71" spans="1:6" ht="15">
      <c r="C71" s="7" t="s">
        <v>161</v>
      </c>
      <c r="D71" s="14">
        <f>D70*'GWP Inputs'!B3</f>
        <v>794.12206934606536</v>
      </c>
      <c r="E71" s="1"/>
    </row>
    <row r="72" spans="1:6">
      <c r="C72" s="39" t="s">
        <v>73</v>
      </c>
      <c r="D72" s="39">
        <f>D71/'Grazing Production'!B31</f>
        <v>79.41220693460653</v>
      </c>
    </row>
    <row r="73" spans="1:6">
      <c r="A73" t="s">
        <v>162</v>
      </c>
    </row>
    <row r="74" spans="1:6" ht="15.75">
      <c r="B74" s="45"/>
      <c r="C74" s="41" t="s">
        <v>23</v>
      </c>
      <c r="D74" s="41" t="s">
        <v>83</v>
      </c>
      <c r="E74" s="41" t="s">
        <v>25</v>
      </c>
      <c r="F74" s="41" t="s">
        <v>26</v>
      </c>
    </row>
    <row r="75" spans="1:6" ht="15.75">
      <c r="B75" s="45"/>
      <c r="C75" s="41" t="s">
        <v>182</v>
      </c>
      <c r="D75" s="41" t="s">
        <v>416</v>
      </c>
      <c r="E75" s="41"/>
      <c r="F75" s="41"/>
    </row>
    <row r="76" spans="1:6">
      <c r="B76" s="41"/>
      <c r="C76" s="41" t="s">
        <v>163</v>
      </c>
      <c r="D76" s="41" t="s">
        <v>164</v>
      </c>
      <c r="E76" s="41" t="s">
        <v>165</v>
      </c>
      <c r="F76" s="41" t="s">
        <v>166</v>
      </c>
    </row>
    <row r="77" spans="1:6">
      <c r="B77" s="41"/>
      <c r="C77" s="41" t="s">
        <v>167</v>
      </c>
      <c r="D77" s="41" t="s">
        <v>168</v>
      </c>
      <c r="E77" s="41" t="s">
        <v>169</v>
      </c>
      <c r="F77" s="41" t="s">
        <v>170</v>
      </c>
    </row>
    <row r="78" spans="1:6" ht="15.75">
      <c r="B78" s="45"/>
      <c r="C78" s="41" t="s">
        <v>171</v>
      </c>
      <c r="D78" s="41" t="s">
        <v>421</v>
      </c>
      <c r="E78" s="41"/>
      <c r="F78" s="41" t="s">
        <v>172</v>
      </c>
    </row>
    <row r="79" spans="1:6">
      <c r="B79" s="41"/>
      <c r="C79" s="41" t="s">
        <v>173</v>
      </c>
      <c r="D79" s="41" t="s">
        <v>419</v>
      </c>
      <c r="E79" s="41"/>
      <c r="F79" s="41"/>
    </row>
    <row r="80" spans="1:6">
      <c r="B80" s="41"/>
      <c r="C80" s="41" t="s">
        <v>174</v>
      </c>
      <c r="D80" s="41" t="s">
        <v>175</v>
      </c>
      <c r="E80" s="41" t="s">
        <v>176</v>
      </c>
      <c r="F80" s="41" t="s">
        <v>177</v>
      </c>
    </row>
    <row r="81" spans="1:6">
      <c r="B81" s="41"/>
      <c r="C81" s="41" t="s">
        <v>178</v>
      </c>
      <c r="D81" s="41" t="s">
        <v>417</v>
      </c>
      <c r="E81" s="41" t="s">
        <v>179</v>
      </c>
      <c r="F81" s="41">
        <v>0</v>
      </c>
    </row>
    <row r="83" spans="1:6" ht="15.75">
      <c r="A83" s="3" t="s">
        <v>64</v>
      </c>
      <c r="B83" s="66" t="s">
        <v>180</v>
      </c>
      <c r="C83" s="18" t="s">
        <v>159</v>
      </c>
      <c r="D83" s="19">
        <f>D66</f>
        <v>95.349133540693956</v>
      </c>
    </row>
    <row r="84" spans="1:6" ht="15">
      <c r="B84" s="67"/>
      <c r="C84" s="7" t="s">
        <v>181</v>
      </c>
      <c r="D84" s="20">
        <v>0.2</v>
      </c>
      <c r="E84" s="1"/>
    </row>
    <row r="85" spans="1:6" ht="15">
      <c r="B85" s="67"/>
      <c r="C85" s="7" t="s">
        <v>182</v>
      </c>
      <c r="D85" s="20">
        <v>0.01</v>
      </c>
      <c r="E85" s="1"/>
    </row>
    <row r="86" spans="1:6" ht="15">
      <c r="B86" s="68"/>
      <c r="C86" s="21" t="s">
        <v>163</v>
      </c>
      <c r="D86" s="22">
        <f>D83*D84*D85</f>
        <v>0.19069826708138793</v>
      </c>
      <c r="E86" s="1"/>
    </row>
    <row r="87" spans="1:6" ht="15">
      <c r="B87" s="66" t="s">
        <v>183</v>
      </c>
      <c r="C87" s="18" t="s">
        <v>159</v>
      </c>
      <c r="D87" s="19">
        <f>D66</f>
        <v>95.349133540693956</v>
      </c>
      <c r="E87" s="1"/>
    </row>
    <row r="88" spans="1:6" ht="15">
      <c r="B88" s="67"/>
      <c r="C88" s="7" t="s">
        <v>173</v>
      </c>
      <c r="D88" s="20">
        <v>0.95</v>
      </c>
      <c r="E88" s="1"/>
    </row>
    <row r="89" spans="1:6" ht="15">
      <c r="B89" s="67"/>
      <c r="C89" s="7" t="s">
        <v>171</v>
      </c>
      <c r="D89" s="20">
        <f>0.3247*D88-0.0247</f>
        <v>0.28376499999999999</v>
      </c>
      <c r="E89" s="1"/>
    </row>
    <row r="90" spans="1:6" ht="15">
      <c r="B90" s="67"/>
      <c r="C90" s="7" t="s">
        <v>178</v>
      </c>
      <c r="D90" s="20">
        <v>0</v>
      </c>
      <c r="E90" s="1"/>
    </row>
    <row r="91" spans="1:6">
      <c r="B91" s="68"/>
      <c r="C91" s="21" t="s">
        <v>167</v>
      </c>
      <c r="D91" s="22">
        <f>D87*D89*D90</f>
        <v>0</v>
      </c>
    </row>
    <row r="92" spans="1:6">
      <c r="C92" s="7" t="s">
        <v>184</v>
      </c>
      <c r="D92" s="14">
        <f>D91+D86</f>
        <v>0.19069826708138793</v>
      </c>
    </row>
    <row r="93" spans="1:6">
      <c r="C93" s="7" t="s">
        <v>185</v>
      </c>
      <c r="D93" s="14">
        <f>D92*(44/28)</f>
        <v>0.29966870541360957</v>
      </c>
    </row>
    <row r="94" spans="1:6">
      <c r="C94" s="7" t="s">
        <v>186</v>
      </c>
      <c r="D94" s="14">
        <f>D93*'GWP Inputs'!B3</f>
        <v>79.41220693460653</v>
      </c>
    </row>
    <row r="95" spans="1:6">
      <c r="C95" s="39" t="s">
        <v>73</v>
      </c>
      <c r="D95" s="39">
        <f>D94/'Grazing Production'!B31</f>
        <v>7.9412206934606528</v>
      </c>
    </row>
    <row r="97" spans="2:4">
      <c r="C97" s="7" t="s">
        <v>187</v>
      </c>
      <c r="D97" s="7" t="s">
        <v>278</v>
      </c>
    </row>
    <row r="98" spans="2:4">
      <c r="B98" t="s">
        <v>188</v>
      </c>
      <c r="C98">
        <f>D29</f>
        <v>4.9324390785167971</v>
      </c>
      <c r="D98">
        <f>D30</f>
        <v>0.49324390785167971</v>
      </c>
    </row>
    <row r="99" spans="2:4">
      <c r="B99" t="s">
        <v>190</v>
      </c>
      <c r="C99">
        <f>D71</f>
        <v>794.12206934606536</v>
      </c>
      <c r="D99">
        <f>D72</f>
        <v>79.41220693460653</v>
      </c>
    </row>
    <row r="100" spans="2:4">
      <c r="B100" t="s">
        <v>189</v>
      </c>
      <c r="C100">
        <f>D94</f>
        <v>79.41220693460653</v>
      </c>
      <c r="D100">
        <f>D95</f>
        <v>7.9412206934606528</v>
      </c>
    </row>
    <row r="101" spans="2:4">
      <c r="B101" t="s">
        <v>79</v>
      </c>
      <c r="C101" s="2">
        <f>SUM(C98:C100)</f>
        <v>878.4667153591887</v>
      </c>
      <c r="D101" s="2">
        <f>SUM(D98:D100)</f>
        <v>87.846671535918858</v>
      </c>
    </row>
  </sheetData>
  <sheetProtection algorithmName="SHA-512" hashValue="k6PHJ7AmLJcl5yQ03ilY5MpPJhK5mLKFzRm1qdLANHZd2x1yv8TDwd/QSZeWLz9nlc8TIJ7/x3h1/sQslsXrGg==" saltValue="+eoF4NsBEX+h7/UJi1ttAQ==" spinCount="100000" sheet="1" objects="1" scenarios="1"/>
  <mergeCells count="2">
    <mergeCell ref="B83:B86"/>
    <mergeCell ref="B87:B9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C3350-A410-476A-9AE3-3D9EF1E7FC83}">
  <dimension ref="A1:X108"/>
  <sheetViews>
    <sheetView workbookViewId="0">
      <selection activeCell="H109" sqref="H109"/>
    </sheetView>
  </sheetViews>
  <sheetFormatPr defaultRowHeight="14.25"/>
  <cols>
    <col min="2" max="2" width="37" bestFit="1" customWidth="1"/>
  </cols>
  <sheetData>
    <row r="1" spans="1:18">
      <c r="C1" t="s">
        <v>203</v>
      </c>
      <c r="D1" t="s">
        <v>368</v>
      </c>
      <c r="E1" t="s">
        <v>369</v>
      </c>
      <c r="F1" t="s">
        <v>370</v>
      </c>
      <c r="G1" t="s">
        <v>67</v>
      </c>
      <c r="H1" t="s">
        <v>371</v>
      </c>
      <c r="I1" t="s">
        <v>371</v>
      </c>
      <c r="J1" t="s">
        <v>372</v>
      </c>
      <c r="K1" t="s">
        <v>372</v>
      </c>
      <c r="L1" t="s">
        <v>373</v>
      </c>
      <c r="M1" t="s">
        <v>373</v>
      </c>
      <c r="N1" t="s">
        <v>374</v>
      </c>
      <c r="O1" t="s">
        <v>375</v>
      </c>
      <c r="P1" t="s">
        <v>376</v>
      </c>
      <c r="Q1" t="s">
        <v>67</v>
      </c>
    </row>
    <row r="2" spans="1:18">
      <c r="A2" t="s">
        <v>377</v>
      </c>
      <c r="B2" t="s">
        <v>378</v>
      </c>
      <c r="C2" t="s">
        <v>101</v>
      </c>
      <c r="D2" t="s">
        <v>101</v>
      </c>
      <c r="E2" t="s">
        <v>379</v>
      </c>
      <c r="F2" t="s">
        <v>101</v>
      </c>
      <c r="G2" t="s">
        <v>380</v>
      </c>
      <c r="H2" t="s">
        <v>380</v>
      </c>
      <c r="I2" t="s">
        <v>381</v>
      </c>
      <c r="J2" t="s">
        <v>380</v>
      </c>
      <c r="K2" t="s">
        <v>381</v>
      </c>
      <c r="L2" t="s">
        <v>380</v>
      </c>
      <c r="M2" t="s">
        <v>381</v>
      </c>
      <c r="N2" t="s">
        <v>101</v>
      </c>
      <c r="O2" t="s">
        <v>382</v>
      </c>
      <c r="P2" t="s">
        <v>101</v>
      </c>
      <c r="Q2" t="s">
        <v>390</v>
      </c>
      <c r="R2" t="s">
        <v>410</v>
      </c>
    </row>
    <row r="3" spans="1:18">
      <c r="A3">
        <v>1</v>
      </c>
      <c r="B3" t="s">
        <v>280</v>
      </c>
      <c r="C3">
        <v>25</v>
      </c>
      <c r="D3">
        <v>23</v>
      </c>
      <c r="E3">
        <v>78</v>
      </c>
      <c r="F3">
        <v>61</v>
      </c>
      <c r="G3">
        <f>(H3+0.079)/0.97</f>
        <v>2.3550327835051545</v>
      </c>
      <c r="H3">
        <v>2.2053817999999996</v>
      </c>
      <c r="I3">
        <v>1.0012433371999998</v>
      </c>
      <c r="J3">
        <v>1.3428077580936262</v>
      </c>
      <c r="K3">
        <v>0.60963472217450632</v>
      </c>
      <c r="L3">
        <v>0.76621809786756634</v>
      </c>
      <c r="M3">
        <v>0.34786301643187512</v>
      </c>
      <c r="N3">
        <v>36</v>
      </c>
      <c r="O3">
        <v>0.8</v>
      </c>
      <c r="P3">
        <v>2</v>
      </c>
      <c r="Q3">
        <v>66.78</v>
      </c>
      <c r="R3">
        <f>(G3/(Q3/100))*4.184</f>
        <v>14.755102075749575</v>
      </c>
    </row>
    <row r="4" spans="1:18">
      <c r="A4">
        <v>2</v>
      </c>
      <c r="B4" t="s">
        <v>281</v>
      </c>
      <c r="C4">
        <v>30</v>
      </c>
      <c r="D4">
        <v>16</v>
      </c>
      <c r="E4">
        <v>85</v>
      </c>
      <c r="F4">
        <v>65</v>
      </c>
      <c r="G4">
        <f t="shared" ref="G4:G67" si="0">(H4+0.079)/0.97</f>
        <v>2.5041206185567009</v>
      </c>
      <c r="H4">
        <v>2.3499969999999997</v>
      </c>
      <c r="I4">
        <v>1.0668986379999998</v>
      </c>
      <c r="J4">
        <v>1.4736600014231738</v>
      </c>
      <c r="K4">
        <v>0.66904164064612093</v>
      </c>
      <c r="L4">
        <v>0.88441266202870761</v>
      </c>
      <c r="M4">
        <v>0.40152334856103328</v>
      </c>
      <c r="N4">
        <v>64</v>
      </c>
      <c r="O4">
        <v>0.8</v>
      </c>
      <c r="P4">
        <v>3</v>
      </c>
      <c r="Q4">
        <v>61.03</v>
      </c>
      <c r="R4">
        <f t="shared" ref="R4:R50" si="1">(G4/(Q4/100))*4.184</f>
        <v>17.16736140921061</v>
      </c>
    </row>
    <row r="5" spans="1:18">
      <c r="A5">
        <v>3</v>
      </c>
      <c r="B5" t="s">
        <v>282</v>
      </c>
      <c r="C5">
        <v>35</v>
      </c>
      <c r="D5">
        <v>10</v>
      </c>
      <c r="E5">
        <v>75</v>
      </c>
      <c r="F5">
        <v>60</v>
      </c>
      <c r="G5">
        <f t="shared" si="0"/>
        <v>2.3177608247422681</v>
      </c>
      <c r="H5">
        <v>2.1692279999999999</v>
      </c>
      <c r="I5">
        <v>0.98482951200000002</v>
      </c>
      <c r="J5">
        <v>1.3096542601976631</v>
      </c>
      <c r="K5">
        <v>0.59458303412973901</v>
      </c>
      <c r="L5">
        <v>0.73606845483613181</v>
      </c>
      <c r="M5">
        <v>0.33417507849560385</v>
      </c>
      <c r="N5">
        <v>66</v>
      </c>
      <c r="O5">
        <v>0.9</v>
      </c>
      <c r="P5">
        <v>2.7</v>
      </c>
      <c r="Q5">
        <v>61.03</v>
      </c>
      <c r="R5">
        <f t="shared" si="1"/>
        <v>15.889744864364491</v>
      </c>
    </row>
    <row r="6" spans="1:18">
      <c r="A6">
        <v>4</v>
      </c>
      <c r="B6" t="s">
        <v>283</v>
      </c>
      <c r="C6">
        <v>80</v>
      </c>
      <c r="D6">
        <v>8</v>
      </c>
      <c r="E6">
        <v>60</v>
      </c>
      <c r="F6">
        <v>55</v>
      </c>
      <c r="G6">
        <f t="shared" si="0"/>
        <v>2.1314010309278348</v>
      </c>
      <c r="H6">
        <v>1.9884589999999998</v>
      </c>
      <c r="I6">
        <v>0.90276038599999997</v>
      </c>
      <c r="J6">
        <v>1.1410952902583267</v>
      </c>
      <c r="K6">
        <v>0.51805726177728029</v>
      </c>
      <c r="L6">
        <v>0.58154126882231694</v>
      </c>
      <c r="M6">
        <v>0.26401973604533191</v>
      </c>
      <c r="N6">
        <v>70</v>
      </c>
      <c r="O6">
        <v>1</v>
      </c>
      <c r="P6">
        <v>2.1</v>
      </c>
      <c r="Q6">
        <v>61.02</v>
      </c>
      <c r="R6">
        <f t="shared" si="1"/>
        <v>14.614522965260669</v>
      </c>
    </row>
    <row r="7" spans="1:18">
      <c r="A7">
        <v>5</v>
      </c>
      <c r="B7" t="s">
        <v>284</v>
      </c>
      <c r="C7">
        <v>90</v>
      </c>
      <c r="D7">
        <v>5</v>
      </c>
      <c r="E7">
        <v>55</v>
      </c>
      <c r="F7">
        <v>44</v>
      </c>
      <c r="G7">
        <f t="shared" si="0"/>
        <v>1.7214094845360823</v>
      </c>
      <c r="H7">
        <v>1.5907671999999999</v>
      </c>
      <c r="I7">
        <v>0.72220830879999998</v>
      </c>
      <c r="J7">
        <v>0.7524042597974181</v>
      </c>
      <c r="K7">
        <v>0.34159153394802783</v>
      </c>
      <c r="L7">
        <v>0.21768652037309155</v>
      </c>
      <c r="M7">
        <v>9.8829680249383572E-2</v>
      </c>
      <c r="N7">
        <v>72</v>
      </c>
      <c r="O7">
        <v>1</v>
      </c>
      <c r="P7">
        <v>1.5</v>
      </c>
      <c r="Q7">
        <v>61.02</v>
      </c>
      <c r="R7">
        <f t="shared" si="1"/>
        <v>11.803305937887526</v>
      </c>
    </row>
    <row r="8" spans="1:18">
      <c r="A8">
        <v>6</v>
      </c>
      <c r="B8" t="s">
        <v>285</v>
      </c>
      <c r="C8">
        <v>35</v>
      </c>
      <c r="D8">
        <v>13</v>
      </c>
      <c r="E8">
        <v>70</v>
      </c>
      <c r="F8">
        <v>57</v>
      </c>
      <c r="G8">
        <f t="shared" si="0"/>
        <v>2.2059449484536082</v>
      </c>
      <c r="H8">
        <v>2.0607665999999996</v>
      </c>
      <c r="I8">
        <v>0.93558803639999988</v>
      </c>
      <c r="J8">
        <v>1.2090890829722096</v>
      </c>
      <c r="K8">
        <v>0.54892644366938315</v>
      </c>
      <c r="L8">
        <v>0.64412177411195115</v>
      </c>
      <c r="M8">
        <v>0.29243128544682584</v>
      </c>
      <c r="N8">
        <v>66</v>
      </c>
      <c r="O8">
        <v>1</v>
      </c>
      <c r="P8">
        <v>2.5</v>
      </c>
      <c r="Q8">
        <v>61.02</v>
      </c>
      <c r="R8">
        <f t="shared" si="1"/>
        <v>15.12565333387397</v>
      </c>
    </row>
    <row r="9" spans="1:18">
      <c r="A9">
        <v>7</v>
      </c>
      <c r="B9" t="s">
        <v>286</v>
      </c>
      <c r="C9">
        <v>85</v>
      </c>
      <c r="D9">
        <v>11</v>
      </c>
      <c r="E9">
        <v>65</v>
      </c>
      <c r="F9">
        <v>54</v>
      </c>
      <c r="G9">
        <f t="shared" si="0"/>
        <v>2.0941290721649488</v>
      </c>
      <c r="H9">
        <v>1.9523052000000001</v>
      </c>
      <c r="I9">
        <v>0.88634656080000007</v>
      </c>
      <c r="J9">
        <v>1.1068043600476276</v>
      </c>
      <c r="K9">
        <v>0.50248917946162297</v>
      </c>
      <c r="L9">
        <v>0.54985582320086168</v>
      </c>
      <c r="M9">
        <v>0.24963454373319122</v>
      </c>
      <c r="N9">
        <v>68</v>
      </c>
      <c r="O9">
        <v>1</v>
      </c>
      <c r="P9">
        <v>2.1</v>
      </c>
      <c r="Q9">
        <v>61.02</v>
      </c>
      <c r="R9">
        <f t="shared" si="1"/>
        <v>14.358957780954023</v>
      </c>
    </row>
    <row r="10" spans="1:18">
      <c r="A10">
        <v>8</v>
      </c>
      <c r="B10" t="s">
        <v>287</v>
      </c>
      <c r="C10">
        <v>90</v>
      </c>
      <c r="D10">
        <v>7</v>
      </c>
      <c r="E10">
        <v>60</v>
      </c>
      <c r="F10">
        <v>47</v>
      </c>
      <c r="G10">
        <f t="shared" si="0"/>
        <v>1.833225360824742</v>
      </c>
      <c r="H10">
        <v>1.6992285999999996</v>
      </c>
      <c r="I10">
        <v>0.77144978439999989</v>
      </c>
      <c r="J10">
        <v>0.86100134822353525</v>
      </c>
      <c r="K10">
        <v>0.39089461209348503</v>
      </c>
      <c r="L10">
        <v>0.32035791165522065</v>
      </c>
      <c r="M10">
        <v>0.14544249189147018</v>
      </c>
      <c r="N10">
        <v>70</v>
      </c>
      <c r="O10">
        <v>1</v>
      </c>
      <c r="P10">
        <v>1.5</v>
      </c>
      <c r="Q10">
        <v>61.02</v>
      </c>
      <c r="R10">
        <f t="shared" si="1"/>
        <v>12.570001490807472</v>
      </c>
    </row>
    <row r="11" spans="1:18">
      <c r="A11">
        <v>9</v>
      </c>
      <c r="B11" t="s">
        <v>288</v>
      </c>
      <c r="C11">
        <v>29</v>
      </c>
      <c r="D11">
        <v>18</v>
      </c>
      <c r="E11">
        <v>80</v>
      </c>
      <c r="F11">
        <v>64</v>
      </c>
      <c r="G11">
        <f t="shared" si="0"/>
        <v>2.4668486597938144</v>
      </c>
      <c r="H11">
        <v>2.3138431999999995</v>
      </c>
      <c r="I11">
        <v>1.0504848127999997</v>
      </c>
      <c r="J11">
        <v>1.4412052485058107</v>
      </c>
      <c r="K11">
        <v>0.65430718282163802</v>
      </c>
      <c r="L11">
        <v>0.85521770382672191</v>
      </c>
      <c r="M11">
        <v>0.38826883753733177</v>
      </c>
      <c r="N11">
        <v>60</v>
      </c>
      <c r="O11">
        <v>0.8</v>
      </c>
      <c r="P11">
        <v>4.5</v>
      </c>
      <c r="Q11">
        <v>67.39</v>
      </c>
      <c r="R11">
        <f t="shared" si="1"/>
        <v>15.315766126394598</v>
      </c>
    </row>
    <row r="12" spans="1:18">
      <c r="A12">
        <v>10</v>
      </c>
      <c r="B12" t="s">
        <v>289</v>
      </c>
      <c r="C12">
        <v>33</v>
      </c>
      <c r="D12">
        <v>12</v>
      </c>
      <c r="E12">
        <v>75</v>
      </c>
      <c r="F12">
        <v>57</v>
      </c>
      <c r="G12">
        <f t="shared" si="0"/>
        <v>2.2059449484536082</v>
      </c>
      <c r="H12">
        <v>2.0607665999999996</v>
      </c>
      <c r="I12">
        <v>0.93558803639999988</v>
      </c>
      <c r="J12">
        <v>1.2090890829722096</v>
      </c>
      <c r="K12">
        <v>0.54892644366938315</v>
      </c>
      <c r="L12">
        <v>0.64412177411195115</v>
      </c>
      <c r="M12">
        <v>0.29243128544682584</v>
      </c>
      <c r="N12">
        <v>65</v>
      </c>
      <c r="O12">
        <v>0.9</v>
      </c>
      <c r="P12">
        <v>3.8</v>
      </c>
      <c r="Q12">
        <v>67.39</v>
      </c>
      <c r="R12">
        <f t="shared" si="1"/>
        <v>13.69590987435806</v>
      </c>
    </row>
    <row r="13" spans="1:18">
      <c r="A13">
        <v>11</v>
      </c>
      <c r="B13" t="s">
        <v>290</v>
      </c>
      <c r="C13">
        <v>70</v>
      </c>
      <c r="D13">
        <v>8</v>
      </c>
      <c r="E13">
        <v>70</v>
      </c>
      <c r="F13">
        <v>49</v>
      </c>
      <c r="G13">
        <f t="shared" si="0"/>
        <v>1.9077692783505151</v>
      </c>
      <c r="H13">
        <v>1.7715361999999997</v>
      </c>
      <c r="I13">
        <v>0.80427743479999991</v>
      </c>
      <c r="J13">
        <v>0.93229028399410119</v>
      </c>
      <c r="K13">
        <v>0.42325978893332195</v>
      </c>
      <c r="L13">
        <v>0.3873382981993978</v>
      </c>
      <c r="M13">
        <v>0.1758515873825266</v>
      </c>
      <c r="N13">
        <v>74</v>
      </c>
      <c r="O13">
        <v>1</v>
      </c>
      <c r="P13">
        <v>3.2</v>
      </c>
      <c r="Q13">
        <v>53.75</v>
      </c>
      <c r="R13">
        <f t="shared" si="1"/>
        <v>14.850430996499639</v>
      </c>
    </row>
    <row r="14" spans="1:18">
      <c r="A14">
        <v>12</v>
      </c>
      <c r="B14" t="s">
        <v>291</v>
      </c>
      <c r="C14">
        <v>40</v>
      </c>
      <c r="D14">
        <v>13</v>
      </c>
      <c r="E14">
        <v>75</v>
      </c>
      <c r="F14">
        <v>52</v>
      </c>
      <c r="G14">
        <f t="shared" si="0"/>
        <v>2.019585154639175</v>
      </c>
      <c r="H14">
        <v>1.8799975999999998</v>
      </c>
      <c r="I14">
        <v>0.85351891039999994</v>
      </c>
      <c r="J14">
        <v>1.0376195461109057</v>
      </c>
      <c r="K14">
        <v>0.47107927393435117</v>
      </c>
      <c r="L14">
        <v>0.48567725011369767</v>
      </c>
      <c r="M14">
        <v>0.22049747155161875</v>
      </c>
      <c r="N14">
        <v>72</v>
      </c>
      <c r="O14">
        <v>1</v>
      </c>
      <c r="P14">
        <v>2.7</v>
      </c>
      <c r="Q14">
        <v>53.75</v>
      </c>
      <c r="R14">
        <f t="shared" si="1"/>
        <v>15.720826580484294</v>
      </c>
    </row>
    <row r="15" spans="1:18">
      <c r="A15">
        <v>13</v>
      </c>
      <c r="B15" t="s">
        <v>292</v>
      </c>
      <c r="C15">
        <v>60</v>
      </c>
      <c r="D15">
        <v>11</v>
      </c>
      <c r="E15">
        <v>68</v>
      </c>
      <c r="F15">
        <v>40</v>
      </c>
      <c r="G15">
        <f t="shared" si="0"/>
        <v>1.572321649484536</v>
      </c>
      <c r="H15">
        <v>1.4461519999999999</v>
      </c>
      <c r="I15">
        <v>0.65655300799999994</v>
      </c>
      <c r="J15">
        <v>0.60437755620585709</v>
      </c>
      <c r="K15">
        <v>0.27438741051745913</v>
      </c>
      <c r="L15">
        <v>7.6537865109784997E-2</v>
      </c>
      <c r="M15">
        <v>3.4748190759842389E-2</v>
      </c>
      <c r="N15">
        <v>75</v>
      </c>
      <c r="O15">
        <v>1</v>
      </c>
      <c r="P15">
        <v>2.2000000000000002</v>
      </c>
      <c r="Q15">
        <v>53.75</v>
      </c>
      <c r="R15">
        <f t="shared" si="1"/>
        <v>12.239244244545672</v>
      </c>
    </row>
    <row r="16" spans="1:18">
      <c r="A16">
        <v>14</v>
      </c>
      <c r="B16" t="s">
        <v>293</v>
      </c>
      <c r="C16">
        <v>30</v>
      </c>
      <c r="D16">
        <v>11</v>
      </c>
      <c r="E16">
        <v>74</v>
      </c>
      <c r="F16">
        <v>68</v>
      </c>
      <c r="G16">
        <f t="shared" si="0"/>
        <v>2.6159364948453612</v>
      </c>
      <c r="H16">
        <v>2.4584584</v>
      </c>
      <c r="I16">
        <v>1.1161401136</v>
      </c>
      <c r="J16">
        <v>1.5700327087770276</v>
      </c>
      <c r="K16">
        <v>0.71279484978477059</v>
      </c>
      <c r="L16">
        <v>0.97063123377619531</v>
      </c>
      <c r="M16">
        <v>0.44066658013439269</v>
      </c>
      <c r="N16">
        <v>62.5</v>
      </c>
      <c r="O16">
        <v>0.8</v>
      </c>
      <c r="P16">
        <v>3.2</v>
      </c>
      <c r="Q16">
        <v>73.17</v>
      </c>
      <c r="R16">
        <f t="shared" si="1"/>
        <v>14.958423253290954</v>
      </c>
    </row>
    <row r="17" spans="1:18">
      <c r="A17">
        <v>15</v>
      </c>
      <c r="B17" t="s">
        <v>294</v>
      </c>
      <c r="C17">
        <v>50</v>
      </c>
      <c r="D17">
        <v>9</v>
      </c>
      <c r="E17">
        <v>70</v>
      </c>
      <c r="F17">
        <v>64</v>
      </c>
      <c r="G17">
        <f t="shared" si="0"/>
        <v>2.4668486597938144</v>
      </c>
      <c r="H17">
        <v>2.3138431999999995</v>
      </c>
      <c r="I17">
        <v>1.0504848127999997</v>
      </c>
      <c r="J17">
        <v>1.4412052485058107</v>
      </c>
      <c r="K17">
        <v>0.65430718282163802</v>
      </c>
      <c r="L17">
        <v>0.85521770382672191</v>
      </c>
      <c r="M17">
        <v>0.38826883753733177</v>
      </c>
      <c r="N17">
        <v>71</v>
      </c>
      <c r="O17">
        <v>0.9</v>
      </c>
      <c r="P17">
        <v>3</v>
      </c>
      <c r="Q17">
        <v>73.17</v>
      </c>
      <c r="R17">
        <f t="shared" si="1"/>
        <v>14.105910608961759</v>
      </c>
    </row>
    <row r="18" spans="1:18">
      <c r="A18">
        <v>16</v>
      </c>
      <c r="B18" t="s">
        <v>295</v>
      </c>
      <c r="C18">
        <v>75</v>
      </c>
      <c r="D18">
        <v>7</v>
      </c>
      <c r="E18">
        <v>66</v>
      </c>
      <c r="F18">
        <v>59</v>
      </c>
      <c r="G18">
        <f t="shared" si="0"/>
        <v>2.2804888659793816</v>
      </c>
      <c r="H18">
        <v>2.1330741999999998</v>
      </c>
      <c r="I18">
        <v>0.9684156867999999</v>
      </c>
      <c r="J18">
        <v>1.2763186331531466</v>
      </c>
      <c r="K18">
        <v>0.57944865945152857</v>
      </c>
      <c r="L18">
        <v>0.70567149265184748</v>
      </c>
      <c r="M18">
        <v>0.32037485766393875</v>
      </c>
      <c r="N18">
        <v>74</v>
      </c>
      <c r="O18">
        <v>1</v>
      </c>
      <c r="P18">
        <v>2.5</v>
      </c>
      <c r="Q18">
        <v>56.93</v>
      </c>
      <c r="R18">
        <f t="shared" si="1"/>
        <v>16.760171114101055</v>
      </c>
    </row>
    <row r="19" spans="1:18">
      <c r="A19">
        <v>17</v>
      </c>
      <c r="B19" t="s">
        <v>296</v>
      </c>
      <c r="C19">
        <v>85</v>
      </c>
      <c r="D19">
        <v>5</v>
      </c>
      <c r="E19">
        <v>62</v>
      </c>
      <c r="F19">
        <v>55</v>
      </c>
      <c r="G19">
        <f t="shared" si="0"/>
        <v>2.1314010309278348</v>
      </c>
      <c r="H19">
        <v>1.9884589999999998</v>
      </c>
      <c r="I19">
        <v>0.90276038599999997</v>
      </c>
      <c r="J19">
        <v>1.1410952902583267</v>
      </c>
      <c r="K19">
        <v>0.51805726177728029</v>
      </c>
      <c r="L19">
        <v>0.58154126882231694</v>
      </c>
      <c r="M19">
        <v>0.26401973604533191</v>
      </c>
      <c r="N19">
        <v>77</v>
      </c>
      <c r="O19">
        <v>1</v>
      </c>
      <c r="P19">
        <v>2.2000000000000002</v>
      </c>
      <c r="Q19">
        <v>56.93</v>
      </c>
      <c r="R19">
        <f t="shared" si="1"/>
        <v>15.664468493592237</v>
      </c>
    </row>
    <row r="20" spans="1:18">
      <c r="A20">
        <v>18</v>
      </c>
      <c r="B20" t="s">
        <v>297</v>
      </c>
      <c r="C20">
        <v>88</v>
      </c>
      <c r="D20">
        <v>4.5</v>
      </c>
      <c r="E20">
        <v>58</v>
      </c>
      <c r="F20">
        <v>50</v>
      </c>
      <c r="G20">
        <f t="shared" si="0"/>
        <v>1.9450412371134018</v>
      </c>
      <c r="H20">
        <v>1.8076899999999998</v>
      </c>
      <c r="I20">
        <v>0.82069125999999992</v>
      </c>
      <c r="J20">
        <v>0.96761094641001444</v>
      </c>
      <c r="K20">
        <v>0.4392953696701466</v>
      </c>
      <c r="L20">
        <v>0.42039870671289847</v>
      </c>
      <c r="M20">
        <v>0.19086101284765591</v>
      </c>
      <c r="N20">
        <v>71</v>
      </c>
      <c r="O20">
        <v>1</v>
      </c>
      <c r="P20">
        <v>1.7</v>
      </c>
      <c r="Q20">
        <v>56.82</v>
      </c>
      <c r="R20">
        <f t="shared" si="1"/>
        <v>14.322514143052576</v>
      </c>
    </row>
    <row r="21" spans="1:18">
      <c r="A21">
        <v>19</v>
      </c>
      <c r="B21" t="s">
        <v>298</v>
      </c>
      <c r="C21">
        <v>21</v>
      </c>
      <c r="D21">
        <v>22</v>
      </c>
      <c r="E21">
        <v>84</v>
      </c>
      <c r="F21">
        <v>71</v>
      </c>
      <c r="G21">
        <f t="shared" si="0"/>
        <v>2.7277523711340206</v>
      </c>
      <c r="H21">
        <v>2.5669197999999995</v>
      </c>
      <c r="I21">
        <v>1.1653815891999999</v>
      </c>
      <c r="J21">
        <v>1.6649806094263102</v>
      </c>
      <c r="K21">
        <v>0.75590119667954481</v>
      </c>
      <c r="L21">
        <v>1.0548729939780714</v>
      </c>
      <c r="M21">
        <v>0.47891233926604443</v>
      </c>
      <c r="N21">
        <v>50</v>
      </c>
      <c r="O21">
        <v>0.8</v>
      </c>
      <c r="P21">
        <v>4</v>
      </c>
      <c r="Q21">
        <v>73.680000000000007</v>
      </c>
      <c r="R21">
        <f t="shared" si="1"/>
        <v>15.489842454973861</v>
      </c>
    </row>
    <row r="22" spans="1:18">
      <c r="A22">
        <v>20</v>
      </c>
      <c r="B22" t="s">
        <v>393</v>
      </c>
      <c r="C22">
        <v>31.25</v>
      </c>
      <c r="D22">
        <v>12.975</v>
      </c>
      <c r="F22">
        <v>70</v>
      </c>
      <c r="G22">
        <f t="shared" si="0"/>
        <v>2.6904804123711337</v>
      </c>
      <c r="H22">
        <v>2.5307659999999994</v>
      </c>
      <c r="I22">
        <v>1.1489677639999998</v>
      </c>
      <c r="J22">
        <v>1.3707</v>
      </c>
      <c r="K22">
        <f>J22/2.205</f>
        <v>0.6216326530612245</v>
      </c>
      <c r="L22">
        <v>0.79173700000000002</v>
      </c>
      <c r="M22">
        <f>L22/2.205</f>
        <v>0.3590643990929705</v>
      </c>
      <c r="N22">
        <v>56.475000000000001</v>
      </c>
      <c r="O22">
        <v>0</v>
      </c>
      <c r="P22">
        <v>0</v>
      </c>
      <c r="Q22">
        <v>71.27</v>
      </c>
      <c r="R22">
        <f t="shared" si="1"/>
        <v>15.794822569609686</v>
      </c>
    </row>
    <row r="23" spans="1:18">
      <c r="A23">
        <v>21</v>
      </c>
      <c r="B23" t="s">
        <v>394</v>
      </c>
      <c r="C23">
        <v>23.725000000000001</v>
      </c>
      <c r="D23">
        <v>18.725000000000001</v>
      </c>
      <c r="F23">
        <v>70</v>
      </c>
      <c r="G23">
        <f t="shared" si="0"/>
        <v>2.6904804123711337</v>
      </c>
      <c r="H23">
        <v>2.5307659999999994</v>
      </c>
      <c r="I23">
        <v>1.1489677639999998</v>
      </c>
      <c r="J23">
        <v>1.4332499999999999</v>
      </c>
      <c r="K23">
        <v>0.65</v>
      </c>
      <c r="L23">
        <v>0.85994999999999999</v>
      </c>
      <c r="M23">
        <v>0.39</v>
      </c>
      <c r="N23">
        <v>50.55</v>
      </c>
      <c r="Q23">
        <v>73.22</v>
      </c>
      <c r="R23">
        <f t="shared" si="1"/>
        <v>15.374173784977907</v>
      </c>
    </row>
    <row r="24" spans="1:18">
      <c r="A24">
        <v>22</v>
      </c>
      <c r="B24" t="s">
        <v>395</v>
      </c>
      <c r="C24">
        <v>24.475000000000001</v>
      </c>
      <c r="D24">
        <v>18.75</v>
      </c>
      <c r="F24">
        <v>70</v>
      </c>
      <c r="G24">
        <f t="shared" si="0"/>
        <v>2.6904804123711337</v>
      </c>
      <c r="H24">
        <v>2.5307659999999994</v>
      </c>
      <c r="I24">
        <v>1.1489677639999998</v>
      </c>
      <c r="J24">
        <v>1.4332499999999999</v>
      </c>
      <c r="K24">
        <v>0.65</v>
      </c>
      <c r="L24">
        <v>0.85994999999999999</v>
      </c>
      <c r="M24">
        <v>0.39</v>
      </c>
      <c r="N24">
        <v>50.125</v>
      </c>
      <c r="Q24">
        <v>73.22</v>
      </c>
      <c r="R24">
        <f t="shared" si="1"/>
        <v>15.374173784977907</v>
      </c>
    </row>
    <row r="25" spans="1:18">
      <c r="A25">
        <v>23</v>
      </c>
      <c r="B25" t="s">
        <v>396</v>
      </c>
      <c r="C25">
        <v>26.6</v>
      </c>
      <c r="D25">
        <v>14.225</v>
      </c>
      <c r="F25">
        <v>70</v>
      </c>
      <c r="G25">
        <f t="shared" si="0"/>
        <v>2.6904804123711337</v>
      </c>
      <c r="H25">
        <v>2.5307659999999994</v>
      </c>
      <c r="I25">
        <v>1.1489677639999998</v>
      </c>
      <c r="J25">
        <v>1.4332499999999999</v>
      </c>
      <c r="K25">
        <v>0.65</v>
      </c>
      <c r="L25">
        <v>0.85994999999999999</v>
      </c>
      <c r="M25">
        <v>0.39</v>
      </c>
      <c r="N25">
        <v>58.4</v>
      </c>
      <c r="Q25">
        <v>66.78</v>
      </c>
      <c r="R25">
        <f t="shared" si="1"/>
        <v>16.85679851057326</v>
      </c>
    </row>
    <row r="26" spans="1:18">
      <c r="A26">
        <v>24</v>
      </c>
      <c r="B26" t="s">
        <v>299</v>
      </c>
      <c r="F26">
        <v>70</v>
      </c>
      <c r="G26">
        <f t="shared" si="0"/>
        <v>2.6904804123711337</v>
      </c>
      <c r="H26">
        <v>2.5307659999999994</v>
      </c>
      <c r="I26">
        <v>1.1489677639999998</v>
      </c>
      <c r="J26">
        <v>1.6334846591300103</v>
      </c>
      <c r="K26">
        <v>0.74160203524502466</v>
      </c>
      <c r="L26">
        <v>1.027006287674411</v>
      </c>
      <c r="M26">
        <v>0.46626085460418265</v>
      </c>
      <c r="N26">
        <v>0</v>
      </c>
      <c r="O26">
        <v>0</v>
      </c>
      <c r="P26">
        <v>0</v>
      </c>
    </row>
    <row r="27" spans="1:18">
      <c r="A27">
        <v>25</v>
      </c>
      <c r="B27" t="s">
        <v>299</v>
      </c>
      <c r="F27">
        <v>70</v>
      </c>
      <c r="G27">
        <f t="shared" si="0"/>
        <v>2.6904804123711337</v>
      </c>
      <c r="H27">
        <v>2.5307659999999994</v>
      </c>
      <c r="I27">
        <v>1.1489677639999998</v>
      </c>
      <c r="J27">
        <v>1.6334846591300103</v>
      </c>
      <c r="K27">
        <v>0.74160203524502466</v>
      </c>
      <c r="L27">
        <v>1.027006287674411</v>
      </c>
      <c r="M27">
        <v>0.46626085460418265</v>
      </c>
      <c r="N27">
        <v>0</v>
      </c>
      <c r="O27">
        <v>0</v>
      </c>
      <c r="P27">
        <v>0</v>
      </c>
    </row>
    <row r="28" spans="1:18">
      <c r="A28">
        <v>26</v>
      </c>
      <c r="B28" t="s">
        <v>300</v>
      </c>
      <c r="C28">
        <v>90</v>
      </c>
      <c r="D28">
        <v>24</v>
      </c>
      <c r="E28">
        <v>88</v>
      </c>
      <c r="F28">
        <v>60</v>
      </c>
      <c r="G28">
        <f t="shared" si="0"/>
        <v>2.3177608247422681</v>
      </c>
      <c r="H28">
        <v>2.1692279999999999</v>
      </c>
      <c r="I28">
        <v>0.98482951200000002</v>
      </c>
      <c r="J28">
        <v>1.3096542601976631</v>
      </c>
      <c r="K28">
        <v>0.59458303412973901</v>
      </c>
      <c r="L28">
        <v>0.73606845483613181</v>
      </c>
      <c r="M28">
        <v>0.33417507849560385</v>
      </c>
      <c r="N28">
        <v>39</v>
      </c>
      <c r="O28">
        <v>0.9</v>
      </c>
      <c r="P28">
        <v>2.5</v>
      </c>
      <c r="Q28">
        <v>63.72</v>
      </c>
      <c r="R28">
        <f>(G28/(Q28/100))*4.184</f>
        <v>15.21894427294672</v>
      </c>
    </row>
    <row r="29" spans="1:18">
      <c r="A29">
        <v>27</v>
      </c>
      <c r="B29" t="s">
        <v>301</v>
      </c>
      <c r="C29">
        <v>90</v>
      </c>
      <c r="D29">
        <v>20</v>
      </c>
      <c r="E29">
        <v>84</v>
      </c>
      <c r="F29">
        <v>58</v>
      </c>
      <c r="G29">
        <f t="shared" si="0"/>
        <v>2.2432169072164947</v>
      </c>
      <c r="H29">
        <v>2.0969203999999997</v>
      </c>
      <c r="I29">
        <v>0.95200186159999989</v>
      </c>
      <c r="J29">
        <v>1.2427978997985161</v>
      </c>
      <c r="K29">
        <v>0.56423024650852627</v>
      </c>
      <c r="L29">
        <v>0.67502375213651922</v>
      </c>
      <c r="M29">
        <v>0.30646078346997974</v>
      </c>
      <c r="N29">
        <v>47</v>
      </c>
      <c r="O29">
        <v>1</v>
      </c>
      <c r="P29">
        <v>2.6</v>
      </c>
      <c r="Q29">
        <v>61.79</v>
      </c>
      <c r="R29">
        <f t="shared" si="1"/>
        <v>15.189544489065891</v>
      </c>
    </row>
    <row r="30" spans="1:18">
      <c r="A30">
        <v>28</v>
      </c>
      <c r="B30" t="s">
        <v>302</v>
      </c>
      <c r="C30">
        <v>90</v>
      </c>
      <c r="D30">
        <v>16</v>
      </c>
      <c r="E30">
        <v>82</v>
      </c>
      <c r="F30">
        <v>55</v>
      </c>
      <c r="G30">
        <f t="shared" si="0"/>
        <v>2.1314010309278348</v>
      </c>
      <c r="H30">
        <v>1.9884589999999998</v>
      </c>
      <c r="I30">
        <v>0.90276038599999997</v>
      </c>
      <c r="J30">
        <v>1.1410952902583267</v>
      </c>
      <c r="K30">
        <v>0.51805726177728029</v>
      </c>
      <c r="L30">
        <v>0.58154126882231694</v>
      </c>
      <c r="M30">
        <v>0.26401973604533191</v>
      </c>
      <c r="N30">
        <v>49</v>
      </c>
      <c r="O30">
        <v>1</v>
      </c>
      <c r="P30">
        <v>2.2999999999999998</v>
      </c>
      <c r="Q30">
        <v>55.71</v>
      </c>
      <c r="R30">
        <f t="shared" si="1"/>
        <v>16.007506575842868</v>
      </c>
    </row>
    <row r="31" spans="1:18">
      <c r="A31">
        <v>29</v>
      </c>
      <c r="B31" t="s">
        <v>303</v>
      </c>
      <c r="C31">
        <v>40</v>
      </c>
      <c r="D31">
        <v>21</v>
      </c>
      <c r="E31">
        <v>75</v>
      </c>
      <c r="F31">
        <v>60</v>
      </c>
      <c r="G31">
        <f t="shared" si="0"/>
        <v>2.3177608247422681</v>
      </c>
      <c r="H31">
        <v>2.1692279999999999</v>
      </c>
      <c r="I31">
        <v>0.98482951200000002</v>
      </c>
      <c r="J31">
        <v>1.3096542601976631</v>
      </c>
      <c r="K31">
        <v>0.59458303412973901</v>
      </c>
      <c r="L31">
        <v>0.73606845483613181</v>
      </c>
      <c r="M31">
        <v>0.33417507849560385</v>
      </c>
      <c r="N31">
        <v>44</v>
      </c>
      <c r="O31">
        <v>0.7</v>
      </c>
      <c r="P31">
        <v>3.8</v>
      </c>
      <c r="Q31">
        <v>62.85</v>
      </c>
      <c r="R31">
        <f t="shared" si="1"/>
        <v>15.429612236629515</v>
      </c>
    </row>
    <row r="32" spans="1:18">
      <c r="A32">
        <v>30</v>
      </c>
      <c r="B32" t="s">
        <v>304</v>
      </c>
      <c r="C32">
        <v>90</v>
      </c>
      <c r="D32">
        <v>14</v>
      </c>
      <c r="E32">
        <v>80</v>
      </c>
      <c r="F32">
        <v>57</v>
      </c>
      <c r="G32">
        <f t="shared" si="0"/>
        <v>2.2059449484536082</v>
      </c>
      <c r="H32">
        <v>2.0607665999999996</v>
      </c>
      <c r="I32">
        <v>0.93558803639999988</v>
      </c>
      <c r="J32">
        <v>1.2090890829722096</v>
      </c>
      <c r="K32">
        <v>0.54892644366938315</v>
      </c>
      <c r="L32">
        <v>0.64412177411195115</v>
      </c>
      <c r="M32">
        <v>0.29243128544682584</v>
      </c>
      <c r="N32">
        <v>69</v>
      </c>
      <c r="O32">
        <v>1</v>
      </c>
      <c r="P32">
        <v>2.2999999999999998</v>
      </c>
      <c r="Q32">
        <v>61.02</v>
      </c>
      <c r="R32">
        <f t="shared" si="1"/>
        <v>15.12565333387397</v>
      </c>
    </row>
    <row r="33" spans="1:24">
      <c r="A33">
        <v>31</v>
      </c>
      <c r="B33" t="s">
        <v>305</v>
      </c>
      <c r="C33">
        <v>92.99</v>
      </c>
      <c r="D33">
        <v>11</v>
      </c>
      <c r="E33">
        <v>70</v>
      </c>
      <c r="F33">
        <v>55</v>
      </c>
      <c r="G33">
        <f t="shared" si="0"/>
        <v>2.1314010309278348</v>
      </c>
      <c r="H33">
        <v>1.9884589999999998</v>
      </c>
      <c r="I33">
        <v>0.90276038599999997</v>
      </c>
      <c r="J33">
        <v>1.1410952902583267</v>
      </c>
      <c r="K33">
        <v>0.51805726177728029</v>
      </c>
      <c r="L33">
        <v>0.58154126882231694</v>
      </c>
      <c r="M33">
        <v>0.26401973604533191</v>
      </c>
      <c r="N33">
        <v>66</v>
      </c>
      <c r="O33">
        <v>1</v>
      </c>
      <c r="P33">
        <v>1.86</v>
      </c>
      <c r="Q33">
        <v>61.02</v>
      </c>
      <c r="R33">
        <f t="shared" si="1"/>
        <v>14.614522965260669</v>
      </c>
    </row>
    <row r="34" spans="1:24">
      <c r="A34">
        <v>32</v>
      </c>
      <c r="B34" t="s">
        <v>306</v>
      </c>
      <c r="C34">
        <v>91</v>
      </c>
      <c r="D34">
        <v>8</v>
      </c>
      <c r="E34">
        <v>68</v>
      </c>
      <c r="F34">
        <v>52</v>
      </c>
      <c r="G34">
        <f t="shared" si="0"/>
        <v>2.019585154639175</v>
      </c>
      <c r="H34">
        <v>1.8799975999999998</v>
      </c>
      <c r="I34">
        <v>0.85351891039999994</v>
      </c>
      <c r="J34">
        <v>1.0376195461109057</v>
      </c>
      <c r="K34">
        <v>0.47107927393435117</v>
      </c>
      <c r="L34">
        <v>0.48567725011369767</v>
      </c>
      <c r="M34">
        <v>0.22049747155161875</v>
      </c>
      <c r="N34">
        <v>70</v>
      </c>
      <c r="O34">
        <v>1</v>
      </c>
      <c r="P34">
        <v>1.8</v>
      </c>
      <c r="Q34">
        <v>53.05</v>
      </c>
      <c r="R34">
        <f t="shared" si="1"/>
        <v>15.928264442997754</v>
      </c>
    </row>
    <row r="35" spans="1:24">
      <c r="A35">
        <v>33</v>
      </c>
      <c r="B35" t="s">
        <v>307</v>
      </c>
      <c r="C35">
        <v>88</v>
      </c>
      <c r="D35">
        <v>13</v>
      </c>
      <c r="E35">
        <v>79</v>
      </c>
      <c r="F35">
        <v>57</v>
      </c>
      <c r="G35">
        <f t="shared" si="0"/>
        <v>2.2059449484536082</v>
      </c>
      <c r="H35">
        <v>2.0607665999999996</v>
      </c>
      <c r="I35">
        <v>0.93558803639999988</v>
      </c>
      <c r="J35">
        <v>1.2090890829722096</v>
      </c>
      <c r="K35">
        <v>0.54892644366938315</v>
      </c>
      <c r="L35">
        <v>0.64412177411195104</v>
      </c>
      <c r="M35">
        <v>0.29243128544682584</v>
      </c>
      <c r="N35">
        <v>57</v>
      </c>
      <c r="O35">
        <v>1</v>
      </c>
      <c r="P35">
        <v>2.6</v>
      </c>
      <c r="Q35">
        <v>64.400000000000006</v>
      </c>
      <c r="R35">
        <f t="shared" si="1"/>
        <v>14.33179140423897</v>
      </c>
    </row>
    <row r="36" spans="1:24">
      <c r="A36">
        <v>34</v>
      </c>
      <c r="B36" t="s">
        <v>308</v>
      </c>
      <c r="C36">
        <v>35</v>
      </c>
      <c r="D36">
        <v>8.3000000000000007</v>
      </c>
      <c r="E36">
        <v>74</v>
      </c>
      <c r="F36">
        <v>70</v>
      </c>
      <c r="G36">
        <f t="shared" si="0"/>
        <v>2.6904804123711337</v>
      </c>
      <c r="H36">
        <v>2.5307659999999994</v>
      </c>
      <c r="I36">
        <v>1.1489677639999998</v>
      </c>
      <c r="J36">
        <v>1.6334846591300103</v>
      </c>
      <c r="K36">
        <v>0.74160203524502466</v>
      </c>
      <c r="L36">
        <v>1.027006287674411</v>
      </c>
      <c r="M36">
        <v>0.46626085460418265</v>
      </c>
      <c r="N36">
        <v>44</v>
      </c>
      <c r="O36">
        <v>0.8</v>
      </c>
      <c r="P36">
        <v>3.3</v>
      </c>
      <c r="Q36">
        <v>63.2</v>
      </c>
      <c r="R36">
        <f t="shared" si="1"/>
        <v>17.811661464178517</v>
      </c>
    </row>
    <row r="37" spans="1:24">
      <c r="A37">
        <v>35</v>
      </c>
      <c r="B37" t="s">
        <v>309</v>
      </c>
      <c r="C37">
        <v>91</v>
      </c>
      <c r="D37">
        <v>10</v>
      </c>
      <c r="E37">
        <v>72</v>
      </c>
      <c r="F37">
        <v>44</v>
      </c>
      <c r="G37">
        <f t="shared" si="0"/>
        <v>1.7214094845360823</v>
      </c>
      <c r="H37">
        <v>1.5907671999999999</v>
      </c>
      <c r="I37">
        <v>0.72220830879999998</v>
      </c>
      <c r="J37">
        <v>0.7524042597974181</v>
      </c>
      <c r="K37">
        <v>0.34159153394802783</v>
      </c>
      <c r="L37">
        <v>0.21768652037309155</v>
      </c>
      <c r="M37">
        <v>9.8829680249383572E-2</v>
      </c>
      <c r="N37">
        <v>65</v>
      </c>
      <c r="O37">
        <v>0.9</v>
      </c>
      <c r="P37">
        <v>3</v>
      </c>
      <c r="Q37">
        <v>53.49</v>
      </c>
      <c r="R37">
        <f t="shared" si="1"/>
        <v>13.464904249951335</v>
      </c>
      <c r="V37">
        <v>1.44</v>
      </c>
      <c r="W37">
        <f>V37*0.7</f>
        <v>1.008</v>
      </c>
      <c r="X37">
        <f>SUM(W37:W38)</f>
        <v>1.3707</v>
      </c>
    </row>
    <row r="38" spans="1:24">
      <c r="A38">
        <v>36</v>
      </c>
      <c r="B38" t="s">
        <v>310</v>
      </c>
      <c r="C38">
        <v>87</v>
      </c>
      <c r="D38">
        <v>11</v>
      </c>
      <c r="E38">
        <v>72</v>
      </c>
      <c r="F38">
        <v>56</v>
      </c>
      <c r="G38">
        <f t="shared" si="0"/>
        <v>2.1686729896907218</v>
      </c>
      <c r="H38">
        <v>2.0246127999999999</v>
      </c>
      <c r="I38">
        <v>0.91917421119999998</v>
      </c>
      <c r="J38">
        <v>1.1751892055126674</v>
      </c>
      <c r="K38">
        <v>0.53353589930275103</v>
      </c>
      <c r="L38">
        <v>0.61296209939994917</v>
      </c>
      <c r="M38">
        <v>0.27828479312757692</v>
      </c>
      <c r="N38">
        <v>68</v>
      </c>
      <c r="O38">
        <v>1</v>
      </c>
      <c r="P38">
        <v>3.7</v>
      </c>
      <c r="Q38">
        <v>53.57</v>
      </c>
      <c r="R38">
        <f t="shared" si="1"/>
        <v>16.938076887933509</v>
      </c>
      <c r="V38">
        <v>1.2090000000000001</v>
      </c>
      <c r="W38">
        <f>V38*0.3</f>
        <v>0.36270000000000002</v>
      </c>
    </row>
    <row r="39" spans="1:24">
      <c r="A39">
        <v>37</v>
      </c>
      <c r="B39" t="s">
        <v>311</v>
      </c>
      <c r="C39">
        <v>88</v>
      </c>
      <c r="D39">
        <v>9</v>
      </c>
      <c r="E39">
        <v>68</v>
      </c>
      <c r="F39">
        <v>52</v>
      </c>
      <c r="G39">
        <f t="shared" si="0"/>
        <v>2.019585154639175</v>
      </c>
      <c r="H39">
        <v>1.8799975999999998</v>
      </c>
      <c r="I39">
        <v>0.85351891039999994</v>
      </c>
      <c r="J39">
        <v>1.0376195461109057</v>
      </c>
      <c r="K39">
        <v>0.47107927393435117</v>
      </c>
      <c r="L39">
        <v>0.48567725011369767</v>
      </c>
      <c r="M39">
        <v>0.22049747155161875</v>
      </c>
      <c r="N39">
        <v>73</v>
      </c>
      <c r="O39">
        <v>1</v>
      </c>
      <c r="P39">
        <v>3.4</v>
      </c>
      <c r="Q39">
        <v>53.57</v>
      </c>
      <c r="R39">
        <f t="shared" si="1"/>
        <v>15.773649966418349</v>
      </c>
    </row>
    <row r="40" spans="1:24">
      <c r="A40">
        <v>38</v>
      </c>
      <c r="B40" t="s">
        <v>312</v>
      </c>
      <c r="C40">
        <v>90</v>
      </c>
      <c r="D40">
        <v>8.5</v>
      </c>
      <c r="E40">
        <v>68</v>
      </c>
      <c r="F40">
        <v>55</v>
      </c>
      <c r="G40">
        <f t="shared" si="0"/>
        <v>2.1314010309278348</v>
      </c>
      <c r="H40">
        <v>1.9884589999999998</v>
      </c>
      <c r="I40">
        <v>0.90276038599999997</v>
      </c>
      <c r="J40">
        <v>1.1410952902583267</v>
      </c>
      <c r="K40">
        <v>0.51805726177728029</v>
      </c>
      <c r="L40">
        <v>0.58154126882231694</v>
      </c>
      <c r="M40">
        <v>0.26401973604533191</v>
      </c>
      <c r="N40">
        <v>63</v>
      </c>
      <c r="O40">
        <v>1</v>
      </c>
      <c r="P40">
        <v>2.6</v>
      </c>
      <c r="Q40">
        <v>64.59</v>
      </c>
      <c r="R40">
        <f t="shared" si="1"/>
        <v>13.806753233321043</v>
      </c>
      <c r="V40">
        <v>0.85499999999999998</v>
      </c>
      <c r="W40">
        <f>V40*0.7</f>
        <v>0.59849999999999992</v>
      </c>
      <c r="X40">
        <f>SUM(W40:W41)</f>
        <v>0.7917365999999999</v>
      </c>
    </row>
    <row r="41" spans="1:24">
      <c r="A41">
        <v>39</v>
      </c>
      <c r="B41" t="s">
        <v>313</v>
      </c>
      <c r="C41">
        <v>79</v>
      </c>
      <c r="D41">
        <v>23</v>
      </c>
      <c r="E41">
        <v>67</v>
      </c>
      <c r="F41">
        <v>50</v>
      </c>
      <c r="G41">
        <f t="shared" si="0"/>
        <v>1.9450412371134018</v>
      </c>
      <c r="H41">
        <v>1.8076899999999998</v>
      </c>
      <c r="I41">
        <v>0.82069125999999992</v>
      </c>
      <c r="J41">
        <v>0.96761094641001444</v>
      </c>
      <c r="K41">
        <v>0.4392953696701466</v>
      </c>
      <c r="L41">
        <v>0.42039870671289847</v>
      </c>
      <c r="M41">
        <v>0.19086101284765591</v>
      </c>
      <c r="N41">
        <v>35</v>
      </c>
      <c r="O41">
        <v>0.2</v>
      </c>
      <c r="P41">
        <v>2.5</v>
      </c>
      <c r="Q41">
        <v>55.93</v>
      </c>
      <c r="R41">
        <f t="shared" si="1"/>
        <v>14.550424702453913</v>
      </c>
      <c r="V41">
        <v>0.64412199999999997</v>
      </c>
      <c r="W41">
        <f>V41*0.3</f>
        <v>0.19323659999999998</v>
      </c>
    </row>
    <row r="42" spans="1:24">
      <c r="A42">
        <v>40</v>
      </c>
      <c r="B42" t="s">
        <v>314</v>
      </c>
      <c r="C42">
        <v>90</v>
      </c>
      <c r="D42">
        <v>7</v>
      </c>
      <c r="E42">
        <v>65</v>
      </c>
      <c r="F42">
        <v>56</v>
      </c>
      <c r="G42">
        <f t="shared" si="0"/>
        <v>2.1686729896907218</v>
      </c>
      <c r="H42">
        <v>2.0246127999999999</v>
      </c>
      <c r="I42">
        <v>0.91917421119999998</v>
      </c>
      <c r="J42">
        <v>1.1751892055126674</v>
      </c>
      <c r="K42">
        <v>0.53353589930275103</v>
      </c>
      <c r="L42">
        <v>0.61296209939994917</v>
      </c>
      <c r="M42">
        <v>0.27828479312757692</v>
      </c>
      <c r="N42">
        <v>68.599999999999994</v>
      </c>
      <c r="O42">
        <v>1</v>
      </c>
      <c r="P42">
        <v>2.2000000000000002</v>
      </c>
      <c r="Q42">
        <v>55.53</v>
      </c>
      <c r="R42">
        <f t="shared" si="1"/>
        <v>16.340226524159878</v>
      </c>
    </row>
    <row r="43" spans="1:24">
      <c r="A43">
        <v>41</v>
      </c>
      <c r="B43" t="s">
        <v>315</v>
      </c>
      <c r="C43">
        <v>91</v>
      </c>
      <c r="D43">
        <v>4.5</v>
      </c>
      <c r="E43">
        <v>61</v>
      </c>
      <c r="F43">
        <v>53</v>
      </c>
      <c r="G43">
        <f t="shared" si="0"/>
        <v>2.0568571134020619</v>
      </c>
      <c r="H43">
        <v>1.9161513999999999</v>
      </c>
      <c r="I43">
        <v>0.86993273559999995</v>
      </c>
      <c r="J43">
        <v>1.0723134377190071</v>
      </c>
      <c r="K43">
        <v>0.48683030072442923</v>
      </c>
      <c r="L43">
        <v>0.51790230335738707</v>
      </c>
      <c r="M43">
        <v>0.23512764572425374</v>
      </c>
      <c r="N43">
        <v>73</v>
      </c>
      <c r="O43">
        <v>1</v>
      </c>
      <c r="P43">
        <v>2</v>
      </c>
      <c r="Q43">
        <v>55.53</v>
      </c>
      <c r="R43">
        <f t="shared" si="1"/>
        <v>15.497731248828069</v>
      </c>
    </row>
    <row r="44" spans="1:24">
      <c r="A44">
        <v>42</v>
      </c>
      <c r="B44" t="s">
        <v>316</v>
      </c>
      <c r="C44">
        <v>87</v>
      </c>
      <c r="D44">
        <v>14.9</v>
      </c>
      <c r="E44">
        <v>70</v>
      </c>
      <c r="F44">
        <v>57</v>
      </c>
      <c r="G44">
        <f t="shared" si="0"/>
        <v>2.2059449484536082</v>
      </c>
      <c r="H44">
        <v>2.0607665999999996</v>
      </c>
      <c r="I44">
        <v>0.93558803639999988</v>
      </c>
      <c r="J44">
        <v>1.2090890829722096</v>
      </c>
      <c r="K44">
        <v>0.54892644366938315</v>
      </c>
      <c r="L44">
        <v>0.64412177411195115</v>
      </c>
      <c r="M44">
        <v>0.29243128544682584</v>
      </c>
      <c r="N44">
        <v>51</v>
      </c>
      <c r="O44">
        <v>1</v>
      </c>
      <c r="P44">
        <v>2.6</v>
      </c>
      <c r="Q44">
        <v>71.27</v>
      </c>
      <c r="R44">
        <f t="shared" si="1"/>
        <v>12.95029278003353</v>
      </c>
    </row>
    <row r="45" spans="1:24">
      <c r="A45">
        <v>43</v>
      </c>
      <c r="B45" t="s">
        <v>317</v>
      </c>
      <c r="C45">
        <v>91</v>
      </c>
      <c r="D45">
        <v>9.5</v>
      </c>
      <c r="E45">
        <v>69</v>
      </c>
      <c r="F45">
        <v>54</v>
      </c>
      <c r="G45">
        <f t="shared" si="0"/>
        <v>2.0941290721649488</v>
      </c>
      <c r="H45">
        <v>1.9523052000000001</v>
      </c>
      <c r="I45">
        <v>0.88634656080000007</v>
      </c>
      <c r="J45">
        <v>1.1068043600476276</v>
      </c>
      <c r="K45">
        <v>0.50248917946162297</v>
      </c>
      <c r="L45">
        <v>0.54985582320086168</v>
      </c>
      <c r="M45">
        <v>0.24963454373319122</v>
      </c>
      <c r="N45">
        <v>65</v>
      </c>
      <c r="O45">
        <v>1</v>
      </c>
      <c r="P45">
        <v>1.7</v>
      </c>
      <c r="Q45">
        <v>70.3</v>
      </c>
      <c r="R45">
        <f t="shared" si="1"/>
        <v>12.463493652828088</v>
      </c>
    </row>
    <row r="46" spans="1:24">
      <c r="A46">
        <v>44</v>
      </c>
      <c r="B46" t="s">
        <v>318</v>
      </c>
      <c r="C46">
        <v>92</v>
      </c>
      <c r="D46">
        <v>16</v>
      </c>
      <c r="E46">
        <v>64</v>
      </c>
      <c r="F46">
        <v>53</v>
      </c>
      <c r="G46">
        <f t="shared" si="0"/>
        <v>2.0568571134020619</v>
      </c>
      <c r="H46">
        <v>1.9161513999999999</v>
      </c>
      <c r="I46">
        <v>0.86993273559999995</v>
      </c>
      <c r="J46">
        <v>1.0723134377190071</v>
      </c>
      <c r="K46">
        <v>0.48683030072442923</v>
      </c>
      <c r="L46">
        <v>0.51790230335738707</v>
      </c>
      <c r="M46">
        <v>0.23512764572425374</v>
      </c>
      <c r="N46">
        <v>53</v>
      </c>
      <c r="O46">
        <v>0.9</v>
      </c>
      <c r="P46">
        <v>4</v>
      </c>
      <c r="Q46">
        <v>63.48</v>
      </c>
      <c r="R46">
        <f t="shared" si="1"/>
        <v>13.556852807930415</v>
      </c>
    </row>
    <row r="47" spans="1:24">
      <c r="A47">
        <v>45</v>
      </c>
      <c r="B47" t="s">
        <v>319</v>
      </c>
      <c r="C47">
        <v>91</v>
      </c>
      <c r="D47">
        <v>8</v>
      </c>
      <c r="E47">
        <v>58</v>
      </c>
      <c r="F47">
        <v>54.4</v>
      </c>
      <c r="G47">
        <f t="shared" si="0"/>
        <v>2.109037855670103</v>
      </c>
      <c r="H47">
        <v>1.9667667200000001</v>
      </c>
      <c r="I47">
        <v>0.89291209088000012</v>
      </c>
      <c r="J47">
        <v>1.1205445644650101</v>
      </c>
      <c r="K47">
        <v>0.50872723226711458</v>
      </c>
      <c r="L47">
        <v>0.56256197664210772</v>
      </c>
      <c r="M47">
        <v>0.2554031373955169</v>
      </c>
      <c r="N47">
        <v>65.8</v>
      </c>
      <c r="O47">
        <v>1</v>
      </c>
      <c r="P47">
        <v>2.6</v>
      </c>
      <c r="Q47">
        <v>62.67</v>
      </c>
      <c r="R47">
        <f t="shared" si="1"/>
        <v>14.080444212739287</v>
      </c>
    </row>
    <row r="48" spans="1:24">
      <c r="A48">
        <v>46</v>
      </c>
      <c r="B48" t="s">
        <v>320</v>
      </c>
      <c r="C48">
        <v>32</v>
      </c>
      <c r="D48">
        <v>9.6999999999999993</v>
      </c>
      <c r="E48">
        <v>70</v>
      </c>
      <c r="F48">
        <v>60</v>
      </c>
      <c r="G48">
        <f t="shared" si="0"/>
        <v>2.3177608247422681</v>
      </c>
      <c r="H48">
        <v>2.1692279999999999</v>
      </c>
      <c r="I48">
        <v>0.98482951200000002</v>
      </c>
      <c r="J48">
        <v>1.3096542601976631</v>
      </c>
      <c r="K48">
        <v>0.59458303412973901</v>
      </c>
      <c r="L48">
        <v>0.73606845483613181</v>
      </c>
      <c r="M48">
        <v>0.33417507849560385</v>
      </c>
      <c r="N48">
        <v>58</v>
      </c>
      <c r="O48">
        <v>0.8</v>
      </c>
      <c r="P48">
        <v>3</v>
      </c>
      <c r="Q48">
        <v>76.599999999999994</v>
      </c>
      <c r="R48">
        <f t="shared" si="1"/>
        <v>12.659936410863775</v>
      </c>
    </row>
    <row r="49" spans="1:18">
      <c r="A49">
        <v>47</v>
      </c>
      <c r="B49" t="s">
        <v>321</v>
      </c>
      <c r="C49">
        <v>32</v>
      </c>
      <c r="D49">
        <v>11</v>
      </c>
      <c r="E49">
        <v>70</v>
      </c>
      <c r="F49">
        <v>58</v>
      </c>
      <c r="G49">
        <f t="shared" si="0"/>
        <v>2.2432169072164947</v>
      </c>
      <c r="H49">
        <v>2.0969203999999997</v>
      </c>
      <c r="I49">
        <v>0.95200186159999989</v>
      </c>
      <c r="J49">
        <v>1.2427978997985161</v>
      </c>
      <c r="K49">
        <v>0.56423024650852627</v>
      </c>
      <c r="L49">
        <v>0.67502375213651922</v>
      </c>
      <c r="M49">
        <v>0.30646078346997974</v>
      </c>
      <c r="N49">
        <v>61</v>
      </c>
      <c r="O49">
        <v>0.9</v>
      </c>
      <c r="P49">
        <v>3.3</v>
      </c>
      <c r="Q49">
        <v>76.599999999999994</v>
      </c>
      <c r="R49">
        <f t="shared" si="1"/>
        <v>12.252767023229524</v>
      </c>
    </row>
    <row r="50" spans="1:18">
      <c r="A50">
        <v>48</v>
      </c>
      <c r="B50" t="s">
        <v>322</v>
      </c>
      <c r="C50">
        <v>90</v>
      </c>
      <c r="D50">
        <v>10.5</v>
      </c>
      <c r="E50">
        <v>70</v>
      </c>
      <c r="F50">
        <v>57</v>
      </c>
      <c r="G50">
        <f t="shared" si="0"/>
        <v>2.2059449484536082</v>
      </c>
      <c r="H50">
        <v>2.0607665999999996</v>
      </c>
      <c r="I50">
        <v>0.93558803639999988</v>
      </c>
      <c r="J50">
        <v>1.2090890829722096</v>
      </c>
      <c r="K50">
        <v>0.54892644366938315</v>
      </c>
      <c r="L50">
        <v>0.64412177411195115</v>
      </c>
      <c r="M50">
        <v>0.29243128544682584</v>
      </c>
      <c r="N50">
        <v>64</v>
      </c>
      <c r="O50">
        <v>1</v>
      </c>
      <c r="P50">
        <v>2.1</v>
      </c>
      <c r="Q50">
        <v>63.59</v>
      </c>
      <c r="R50">
        <f t="shared" si="1"/>
        <v>14.514347640084758</v>
      </c>
    </row>
    <row r="51" spans="1:18">
      <c r="A51">
        <v>49</v>
      </c>
      <c r="B51" t="s">
        <v>323</v>
      </c>
      <c r="C51">
        <v>34</v>
      </c>
      <c r="D51">
        <v>14.4</v>
      </c>
      <c r="E51">
        <v>82</v>
      </c>
      <c r="F51">
        <v>61</v>
      </c>
      <c r="G51">
        <f t="shared" si="0"/>
        <v>2.3550327835051545</v>
      </c>
      <c r="H51">
        <v>2.2053817999999996</v>
      </c>
      <c r="I51">
        <v>1.0012433371999998</v>
      </c>
      <c r="J51">
        <v>1.3428077580936262</v>
      </c>
      <c r="K51">
        <v>0.60963472217450632</v>
      </c>
      <c r="L51">
        <v>0.76621809786756634</v>
      </c>
      <c r="M51">
        <v>0.34786301643187512</v>
      </c>
      <c r="N51">
        <v>58.5</v>
      </c>
      <c r="O51">
        <v>0.8</v>
      </c>
      <c r="P51">
        <v>3.7</v>
      </c>
    </row>
    <row r="52" spans="1:18">
      <c r="A52">
        <v>50</v>
      </c>
      <c r="B52" t="s">
        <v>324</v>
      </c>
      <c r="C52">
        <v>89</v>
      </c>
      <c r="D52">
        <v>9</v>
      </c>
      <c r="E52">
        <v>70</v>
      </c>
      <c r="F52">
        <v>57</v>
      </c>
      <c r="G52">
        <f t="shared" si="0"/>
        <v>2.2059449484536082</v>
      </c>
      <c r="H52">
        <v>2.0607665999999996</v>
      </c>
      <c r="I52">
        <v>0.93558803639999988</v>
      </c>
      <c r="J52">
        <v>1.2090890829722096</v>
      </c>
      <c r="K52">
        <v>0.54892644366938315</v>
      </c>
      <c r="L52">
        <v>0.64412177411195115</v>
      </c>
      <c r="M52">
        <v>0.29243128544682584</v>
      </c>
      <c r="N52">
        <v>62</v>
      </c>
      <c r="O52">
        <v>1</v>
      </c>
      <c r="P52">
        <v>2.1</v>
      </c>
      <c r="Q52">
        <v>62.63</v>
      </c>
      <c r="R52">
        <f>(G52/(Q52/100))*4.184</f>
        <v>14.736825266373776</v>
      </c>
    </row>
    <row r="53" spans="1:18">
      <c r="A53">
        <v>51</v>
      </c>
      <c r="B53" t="s">
        <v>325</v>
      </c>
      <c r="C53">
        <v>34</v>
      </c>
      <c r="D53">
        <v>12.7</v>
      </c>
      <c r="E53">
        <v>81</v>
      </c>
      <c r="F53">
        <v>60</v>
      </c>
      <c r="G53">
        <f t="shared" si="0"/>
        <v>2.3177608247422681</v>
      </c>
      <c r="H53">
        <v>2.1692279999999999</v>
      </c>
      <c r="I53">
        <v>0.98482951200000002</v>
      </c>
      <c r="J53">
        <v>1.3096542601976631</v>
      </c>
      <c r="K53">
        <v>0.59458303412973901</v>
      </c>
      <c r="L53">
        <v>0.73606845483613181</v>
      </c>
      <c r="M53">
        <v>0.33417507849560385</v>
      </c>
      <c r="N53">
        <v>57</v>
      </c>
      <c r="O53">
        <v>0.8</v>
      </c>
      <c r="P53">
        <v>3.5</v>
      </c>
      <c r="Q53">
        <v>63.99</v>
      </c>
      <c r="R53">
        <f t="shared" ref="R53:R55" si="2">(G53/(Q53/100))*4.184</f>
        <v>15.154729318208547</v>
      </c>
    </row>
    <row r="54" spans="1:18">
      <c r="A54">
        <v>52</v>
      </c>
      <c r="B54" t="s">
        <v>326</v>
      </c>
      <c r="C54">
        <v>91</v>
      </c>
      <c r="D54">
        <v>4</v>
      </c>
      <c r="E54">
        <v>40</v>
      </c>
      <c r="F54">
        <v>44</v>
      </c>
      <c r="G54">
        <f t="shared" si="0"/>
        <v>1.7214094845360823</v>
      </c>
      <c r="H54">
        <v>1.5907671999999999</v>
      </c>
      <c r="I54">
        <v>0.72220830879999998</v>
      </c>
      <c r="J54">
        <v>0.7524042597974181</v>
      </c>
      <c r="K54">
        <v>0.34159153394802783</v>
      </c>
      <c r="L54">
        <v>0.21768652037309155</v>
      </c>
      <c r="M54">
        <v>9.8829680249383572E-2</v>
      </c>
      <c r="N54">
        <v>72</v>
      </c>
      <c r="O54">
        <v>1</v>
      </c>
      <c r="P54">
        <v>1.8</v>
      </c>
      <c r="Q54">
        <v>45.77</v>
      </c>
      <c r="R54">
        <f t="shared" si="2"/>
        <v>15.736022030366984</v>
      </c>
    </row>
    <row r="55" spans="1:18">
      <c r="A55">
        <v>53</v>
      </c>
      <c r="B55" t="s">
        <v>327</v>
      </c>
      <c r="C55">
        <v>85</v>
      </c>
      <c r="D55">
        <v>9</v>
      </c>
      <c r="E55">
        <v>75</v>
      </c>
      <c r="F55">
        <v>50</v>
      </c>
      <c r="G55">
        <f t="shared" si="0"/>
        <v>1.9450412371134018</v>
      </c>
      <c r="H55">
        <v>1.8076899999999998</v>
      </c>
      <c r="I55">
        <v>0.82069125999999992</v>
      </c>
      <c r="J55">
        <v>0.96761094641001444</v>
      </c>
      <c r="K55">
        <v>0.4392953696701466</v>
      </c>
      <c r="L55">
        <v>0.42039870671289847</v>
      </c>
      <c r="M55">
        <v>0.19086101284765591</v>
      </c>
      <c r="N55">
        <v>76</v>
      </c>
      <c r="O55">
        <v>1</v>
      </c>
      <c r="P55">
        <v>1.5</v>
      </c>
      <c r="Q55">
        <v>45.77</v>
      </c>
      <c r="R55">
        <f t="shared" si="2"/>
        <v>17.780320157488472</v>
      </c>
    </row>
    <row r="56" spans="1:18">
      <c r="A56">
        <v>54</v>
      </c>
      <c r="B56" t="s">
        <v>393</v>
      </c>
      <c r="F56">
        <v>70</v>
      </c>
      <c r="G56">
        <f t="shared" si="0"/>
        <v>2.6904804123711337</v>
      </c>
      <c r="H56">
        <v>2.5307659999999994</v>
      </c>
      <c r="I56">
        <v>1.1489677639999998</v>
      </c>
      <c r="J56">
        <v>1.6334846591300103</v>
      </c>
      <c r="K56">
        <v>0.74160203524502466</v>
      </c>
      <c r="L56">
        <v>1.027006287674411</v>
      </c>
      <c r="M56">
        <v>0.46626085460418265</v>
      </c>
    </row>
    <row r="57" spans="1:18">
      <c r="A57">
        <v>55</v>
      </c>
      <c r="B57" t="s">
        <v>394</v>
      </c>
      <c r="F57">
        <v>70</v>
      </c>
      <c r="G57">
        <f t="shared" si="0"/>
        <v>2.6904804123711337</v>
      </c>
      <c r="H57">
        <v>2.5307659999999994</v>
      </c>
      <c r="I57">
        <v>1.1489677639999998</v>
      </c>
      <c r="J57">
        <v>1.6334846591300103</v>
      </c>
      <c r="K57">
        <v>0.74160203524502466</v>
      </c>
      <c r="L57">
        <v>1.027006287674411</v>
      </c>
      <c r="M57">
        <v>0.46626085460418265</v>
      </c>
    </row>
    <row r="58" spans="1:18">
      <c r="A58">
        <v>56</v>
      </c>
      <c r="B58" t="s">
        <v>395</v>
      </c>
      <c r="F58">
        <v>70</v>
      </c>
      <c r="G58">
        <f t="shared" si="0"/>
        <v>2.6904804123711337</v>
      </c>
      <c r="H58">
        <v>2.5307659999999994</v>
      </c>
      <c r="I58">
        <v>1.1489677639999998</v>
      </c>
      <c r="J58">
        <v>1.6334846591300103</v>
      </c>
      <c r="K58">
        <v>0.74160203524502466</v>
      </c>
      <c r="L58">
        <v>1.027006287674411</v>
      </c>
      <c r="M58">
        <v>0.46626085460418265</v>
      </c>
    </row>
    <row r="59" spans="1:18">
      <c r="A59">
        <v>57</v>
      </c>
      <c r="B59" t="s">
        <v>396</v>
      </c>
      <c r="F59">
        <v>70</v>
      </c>
      <c r="G59">
        <f t="shared" si="0"/>
        <v>2.6904804123711337</v>
      </c>
      <c r="H59">
        <v>2.5307659999999994</v>
      </c>
      <c r="I59">
        <v>1.1489677639999998</v>
      </c>
      <c r="J59">
        <v>1.6334846591300103</v>
      </c>
      <c r="K59">
        <v>0.74160203524502466</v>
      </c>
      <c r="L59">
        <v>1.027006287674411</v>
      </c>
      <c r="M59">
        <v>0.46626085460418265</v>
      </c>
    </row>
    <row r="60" spans="1:18">
      <c r="A60">
        <v>58</v>
      </c>
      <c r="B60" t="s">
        <v>299</v>
      </c>
      <c r="F60">
        <v>70</v>
      </c>
      <c r="G60">
        <f t="shared" si="0"/>
        <v>2.6904804123711337</v>
      </c>
      <c r="H60">
        <v>2.5307659999999994</v>
      </c>
      <c r="I60">
        <v>1.1489677639999998</v>
      </c>
      <c r="J60">
        <v>1.6334846591300103</v>
      </c>
      <c r="K60">
        <v>0.74160203524502466</v>
      </c>
      <c r="L60">
        <v>1.027006287674411</v>
      </c>
      <c r="M60">
        <v>0.46626085460418265</v>
      </c>
    </row>
    <row r="61" spans="1:18">
      <c r="A61">
        <v>59</v>
      </c>
      <c r="B61" t="s">
        <v>299</v>
      </c>
      <c r="C61">
        <v>0</v>
      </c>
      <c r="D61">
        <v>0</v>
      </c>
      <c r="E61">
        <v>0</v>
      </c>
      <c r="F61">
        <v>70</v>
      </c>
      <c r="G61">
        <f t="shared" si="0"/>
        <v>2.6904804123711337</v>
      </c>
      <c r="H61">
        <v>2.5307659999999994</v>
      </c>
      <c r="I61">
        <v>1.1489677639999998</v>
      </c>
      <c r="J61">
        <v>1.6334846591300103</v>
      </c>
      <c r="K61">
        <v>0.74160203524502466</v>
      </c>
      <c r="L61">
        <v>1.027006287674411</v>
      </c>
      <c r="M61">
        <v>0.46626085460418265</v>
      </c>
      <c r="N61">
        <v>0</v>
      </c>
      <c r="O61">
        <v>0</v>
      </c>
      <c r="P61">
        <v>0</v>
      </c>
    </row>
    <row r="62" spans="1:18">
      <c r="A62">
        <v>60</v>
      </c>
      <c r="B62" t="s">
        <v>328</v>
      </c>
      <c r="C62">
        <v>90</v>
      </c>
      <c r="D62">
        <v>18</v>
      </c>
      <c r="E62">
        <v>64</v>
      </c>
      <c r="F62">
        <v>68</v>
      </c>
      <c r="G62">
        <f t="shared" si="0"/>
        <v>2.6159364948453612</v>
      </c>
      <c r="H62">
        <v>2.4584584</v>
      </c>
      <c r="I62">
        <v>1.1161401136</v>
      </c>
      <c r="J62">
        <v>1.5700327087770276</v>
      </c>
      <c r="K62">
        <v>0.71279484978477059</v>
      </c>
      <c r="L62">
        <v>0.97063123377619531</v>
      </c>
      <c r="M62">
        <v>0.44066658013439269</v>
      </c>
      <c r="N62">
        <v>50</v>
      </c>
      <c r="O62">
        <v>0.5</v>
      </c>
      <c r="P62">
        <v>1.9</v>
      </c>
      <c r="Q62">
        <v>81.42</v>
      </c>
      <c r="R62">
        <f>(G62/(Q62/100))*4.184</f>
        <v>13.442739246417332</v>
      </c>
    </row>
    <row r="63" spans="1:18">
      <c r="A63">
        <v>61</v>
      </c>
      <c r="B63" t="s">
        <v>329</v>
      </c>
      <c r="C63">
        <v>89</v>
      </c>
      <c r="D63">
        <v>22.6</v>
      </c>
      <c r="E63">
        <v>64</v>
      </c>
      <c r="F63">
        <v>77</v>
      </c>
      <c r="G63">
        <f t="shared" si="0"/>
        <v>2.9513841237113403</v>
      </c>
      <c r="H63">
        <v>2.7838425999999998</v>
      </c>
      <c r="I63">
        <v>1.2638645404</v>
      </c>
      <c r="J63">
        <v>1.8509235240597759</v>
      </c>
      <c r="K63">
        <v>0.84031927992313826</v>
      </c>
      <c r="L63">
        <v>1.217799670990042</v>
      </c>
      <c r="M63">
        <v>0.55288105062947912</v>
      </c>
      <c r="N63">
        <v>35</v>
      </c>
      <c r="O63">
        <v>0.3</v>
      </c>
      <c r="P63">
        <v>3.3</v>
      </c>
      <c r="Q63">
        <v>78.47</v>
      </c>
      <c r="R63">
        <f t="shared" ref="R63:R89" si="3">(G63/(Q63/100))*4.184</f>
        <v>15.736703419916209</v>
      </c>
    </row>
    <row r="64" spans="1:18">
      <c r="A64">
        <v>62</v>
      </c>
      <c r="B64" t="s">
        <v>330</v>
      </c>
      <c r="C64">
        <v>87</v>
      </c>
      <c r="D64">
        <v>9</v>
      </c>
      <c r="E64">
        <v>42</v>
      </c>
      <c r="F64">
        <v>87.6</v>
      </c>
      <c r="G64">
        <f t="shared" si="0"/>
        <v>3.3464668865979377</v>
      </c>
      <c r="H64">
        <v>3.1670728799999992</v>
      </c>
      <c r="I64">
        <v>1.4378510875199997</v>
      </c>
      <c r="J64">
        <v>2.1682533992502093</v>
      </c>
      <c r="K64">
        <v>0.98438704325959503</v>
      </c>
      <c r="L64">
        <v>1.4895180681321492</v>
      </c>
      <c r="M64">
        <v>0.67624120293199574</v>
      </c>
      <c r="N64">
        <v>9.6999999999999993</v>
      </c>
      <c r="O64">
        <v>0.2</v>
      </c>
      <c r="P64">
        <v>3.8</v>
      </c>
      <c r="Q64">
        <v>88.85</v>
      </c>
      <c r="R64">
        <f t="shared" si="3"/>
        <v>15.758714072623267</v>
      </c>
    </row>
    <row r="65" spans="1:18">
      <c r="A65">
        <v>63</v>
      </c>
      <c r="B65" t="s">
        <v>331</v>
      </c>
      <c r="C65">
        <v>81</v>
      </c>
      <c r="D65">
        <v>8.5</v>
      </c>
      <c r="E65">
        <v>30</v>
      </c>
      <c r="F65">
        <v>95</v>
      </c>
      <c r="G65">
        <f t="shared" si="0"/>
        <v>3.6222793814432985</v>
      </c>
      <c r="H65">
        <v>3.4346109999999994</v>
      </c>
      <c r="I65">
        <v>1.5593133939999997</v>
      </c>
      <c r="J65">
        <v>2.3829167767143562</v>
      </c>
      <c r="K65">
        <v>1.0818442166283178</v>
      </c>
      <c r="L65">
        <v>1.6688495973026396</v>
      </c>
      <c r="M65">
        <v>0.75765771717539843</v>
      </c>
      <c r="N65">
        <v>9</v>
      </c>
      <c r="O65">
        <v>0.1</v>
      </c>
      <c r="P65">
        <v>3.2</v>
      </c>
      <c r="Q65">
        <v>95.44</v>
      </c>
      <c r="R65">
        <f t="shared" si="3"/>
        <v>15.879732745137009</v>
      </c>
    </row>
    <row r="66" spans="1:18">
      <c r="A66">
        <v>64</v>
      </c>
      <c r="B66" t="s">
        <v>332</v>
      </c>
      <c r="C66">
        <v>82</v>
      </c>
      <c r="D66">
        <v>9</v>
      </c>
      <c r="E66">
        <v>0</v>
      </c>
      <c r="F66">
        <v>92</v>
      </c>
      <c r="G66">
        <f t="shared" si="0"/>
        <v>3.5104635051546396</v>
      </c>
      <c r="H66">
        <v>3.3261495999999999</v>
      </c>
      <c r="I66">
        <v>1.5100719184</v>
      </c>
      <c r="J66">
        <v>2.2964735286641429</v>
      </c>
      <c r="K66">
        <v>1.0425989820135209</v>
      </c>
      <c r="L66">
        <v>1.5970600082601858</v>
      </c>
      <c r="M66">
        <v>0.72506524375012438</v>
      </c>
      <c r="N66">
        <v>0</v>
      </c>
      <c r="O66">
        <v>0.6</v>
      </c>
      <c r="P66">
        <v>3.8</v>
      </c>
      <c r="Q66">
        <v>88.85</v>
      </c>
      <c r="R66">
        <f t="shared" si="3"/>
        <v>16.530984024273508</v>
      </c>
    </row>
    <row r="67" spans="1:18">
      <c r="A67">
        <v>65</v>
      </c>
      <c r="B67" t="s">
        <v>333</v>
      </c>
      <c r="C67">
        <v>91.4</v>
      </c>
      <c r="D67">
        <v>6.7</v>
      </c>
      <c r="E67">
        <v>30</v>
      </c>
      <c r="F67">
        <v>39</v>
      </c>
      <c r="G67">
        <f t="shared" si="0"/>
        <v>1.5350496907216495</v>
      </c>
      <c r="H67">
        <v>1.4099982</v>
      </c>
      <c r="I67">
        <v>0.64013918280000004</v>
      </c>
      <c r="J67">
        <v>0.56677414226242684</v>
      </c>
      <c r="K67">
        <v>0.25731546058714178</v>
      </c>
      <c r="L67">
        <v>4.0468092447575099E-2</v>
      </c>
      <c r="M67">
        <v>1.8372513971199097E-2</v>
      </c>
      <c r="N67">
        <v>81</v>
      </c>
      <c r="O67">
        <v>0.7</v>
      </c>
      <c r="P67">
        <v>4.2</v>
      </c>
      <c r="Q67">
        <v>43.68</v>
      </c>
      <c r="R67">
        <f t="shared" si="3"/>
        <v>14.703864253615802</v>
      </c>
    </row>
    <row r="68" spans="1:18">
      <c r="A68">
        <v>66</v>
      </c>
      <c r="B68" t="s">
        <v>334</v>
      </c>
      <c r="C68">
        <v>90</v>
      </c>
      <c r="D68">
        <v>46</v>
      </c>
      <c r="E68">
        <v>75</v>
      </c>
      <c r="F68">
        <v>72</v>
      </c>
      <c r="G68">
        <f t="shared" ref="G68:G105" si="4">(H68+0.079)/0.97</f>
        <v>2.7650243298969071</v>
      </c>
      <c r="H68">
        <v>2.6030735999999997</v>
      </c>
      <c r="I68">
        <v>1.1817954143999998</v>
      </c>
      <c r="J68">
        <v>1.69632717935123</v>
      </c>
      <c r="K68">
        <v>0.77013253942545845</v>
      </c>
      <c r="L68">
        <v>1.0825304320890257</v>
      </c>
      <c r="M68">
        <v>0.49146881616841764</v>
      </c>
      <c r="N68">
        <v>33</v>
      </c>
      <c r="O68">
        <v>0.1</v>
      </c>
      <c r="P68">
        <v>4</v>
      </c>
      <c r="Q68">
        <v>71.709999999999994</v>
      </c>
      <c r="R68">
        <f t="shared" si="3"/>
        <v>16.132843112939145</v>
      </c>
    </row>
    <row r="69" spans="1:18">
      <c r="A69">
        <v>67</v>
      </c>
      <c r="B69" t="s">
        <v>335</v>
      </c>
      <c r="C69">
        <v>92.6</v>
      </c>
      <c r="D69">
        <v>23</v>
      </c>
      <c r="E69">
        <v>56</v>
      </c>
      <c r="F69">
        <v>93</v>
      </c>
      <c r="G69">
        <f t="shared" si="4"/>
        <v>3.5477354639175256</v>
      </c>
      <c r="H69">
        <v>3.3623033999999996</v>
      </c>
      <c r="I69">
        <v>1.5264857435999999</v>
      </c>
      <c r="J69">
        <v>2.3253708351107267</v>
      </c>
      <c r="K69">
        <v>1.0557183591402699</v>
      </c>
      <c r="L69">
        <v>1.6211218844873554</v>
      </c>
      <c r="M69">
        <v>0.73598933555725932</v>
      </c>
      <c r="N69">
        <v>48</v>
      </c>
      <c r="O69">
        <v>0.7</v>
      </c>
      <c r="P69">
        <v>19.399999999999999</v>
      </c>
      <c r="Q69">
        <v>78.42</v>
      </c>
      <c r="R69">
        <f t="shared" si="3"/>
        <v>18.928494237478866</v>
      </c>
    </row>
    <row r="70" spans="1:18">
      <c r="A70">
        <v>68</v>
      </c>
      <c r="B70" t="s">
        <v>336</v>
      </c>
      <c r="C70">
        <v>92</v>
      </c>
      <c r="D70">
        <v>31</v>
      </c>
      <c r="E70">
        <v>29</v>
      </c>
      <c r="F70">
        <v>80</v>
      </c>
      <c r="G70">
        <f t="shared" si="4"/>
        <v>3.0632000000000001</v>
      </c>
      <c r="H70">
        <v>2.8923039999999998</v>
      </c>
      <c r="I70">
        <v>1.3131060159999999</v>
      </c>
      <c r="J70">
        <v>1.9420793047682641</v>
      </c>
      <c r="K70">
        <v>0.8817040043647919</v>
      </c>
      <c r="L70">
        <v>1.2966713834226633</v>
      </c>
      <c r="M70">
        <v>0.58868880807388912</v>
      </c>
      <c r="N70">
        <v>34.299999999999997</v>
      </c>
      <c r="O70">
        <v>0.2</v>
      </c>
      <c r="P70">
        <v>11</v>
      </c>
      <c r="Q70">
        <v>86.68</v>
      </c>
      <c r="R70">
        <f t="shared" si="3"/>
        <v>14.785912321181359</v>
      </c>
    </row>
    <row r="71" spans="1:18">
      <c r="A71">
        <v>69</v>
      </c>
      <c r="B71" t="s">
        <v>337</v>
      </c>
      <c r="C71">
        <v>91</v>
      </c>
      <c r="D71">
        <v>33</v>
      </c>
      <c r="E71">
        <v>30</v>
      </c>
      <c r="F71">
        <v>78</v>
      </c>
      <c r="G71">
        <f t="shared" si="4"/>
        <v>2.9886560824742272</v>
      </c>
      <c r="H71">
        <v>2.8199964</v>
      </c>
      <c r="I71">
        <v>1.2802783656000001</v>
      </c>
      <c r="J71">
        <v>1.8814363321492031</v>
      </c>
      <c r="K71">
        <v>0.8541720947957383</v>
      </c>
      <c r="L71">
        <v>1.2442741426868578</v>
      </c>
      <c r="M71">
        <v>0.56490046077983347</v>
      </c>
      <c r="N71">
        <v>38</v>
      </c>
      <c r="O71">
        <v>0.2</v>
      </c>
      <c r="P71">
        <v>10</v>
      </c>
      <c r="Q71">
        <v>71.459999999999994</v>
      </c>
      <c r="R71">
        <f t="shared" si="3"/>
        <v>17.498652461617926</v>
      </c>
    </row>
    <row r="72" spans="1:18">
      <c r="A72">
        <v>71</v>
      </c>
      <c r="B72" t="s">
        <v>338</v>
      </c>
      <c r="C72">
        <v>89</v>
      </c>
      <c r="D72">
        <v>11.6</v>
      </c>
      <c r="E72">
        <v>28.6</v>
      </c>
      <c r="F72">
        <v>86</v>
      </c>
      <c r="G72">
        <f t="shared" si="4"/>
        <v>3.2868317525773194</v>
      </c>
      <c r="H72">
        <v>3.1092267999999996</v>
      </c>
      <c r="I72">
        <v>1.4115889671999999</v>
      </c>
      <c r="J72">
        <v>2.1211614297795118</v>
      </c>
      <c r="K72">
        <v>0.96300728911989841</v>
      </c>
      <c r="L72">
        <v>1.44969854519749</v>
      </c>
      <c r="M72">
        <v>0.65816313951966043</v>
      </c>
      <c r="N72">
        <v>7.2</v>
      </c>
      <c r="O72">
        <v>0.2</v>
      </c>
      <c r="P72">
        <v>3.5</v>
      </c>
      <c r="Q72">
        <v>85.71</v>
      </c>
      <c r="R72">
        <f t="shared" si="3"/>
        <v>16.044923641096144</v>
      </c>
    </row>
    <row r="73" spans="1:18">
      <c r="A73">
        <v>72</v>
      </c>
      <c r="B73" t="s">
        <v>339</v>
      </c>
      <c r="C73">
        <v>82</v>
      </c>
      <c r="D73">
        <v>11</v>
      </c>
      <c r="E73">
        <v>38</v>
      </c>
      <c r="F73">
        <v>90</v>
      </c>
      <c r="G73">
        <f t="shared" si="4"/>
        <v>3.4359195876288657</v>
      </c>
      <c r="H73">
        <v>3.2538419999999997</v>
      </c>
      <c r="I73">
        <v>1.477244268</v>
      </c>
      <c r="J73">
        <v>2.2384153586736293</v>
      </c>
      <c r="K73">
        <v>1.0162405728378276</v>
      </c>
      <c r="L73">
        <v>1.5485229202758135</v>
      </c>
      <c r="M73">
        <v>0.70302940580521933</v>
      </c>
      <c r="N73">
        <v>7.2</v>
      </c>
      <c r="O73">
        <v>0.1</v>
      </c>
      <c r="P73">
        <v>3.1</v>
      </c>
      <c r="Q73">
        <v>93.59</v>
      </c>
      <c r="R73">
        <f t="shared" si="3"/>
        <v>15.360495303599928</v>
      </c>
    </row>
    <row r="74" spans="1:18">
      <c r="A74">
        <v>74</v>
      </c>
      <c r="B74" t="s">
        <v>340</v>
      </c>
      <c r="C74">
        <v>89</v>
      </c>
      <c r="D74">
        <v>12.5</v>
      </c>
      <c r="E74">
        <v>44</v>
      </c>
      <c r="F74">
        <v>83</v>
      </c>
      <c r="G74">
        <f t="shared" si="4"/>
        <v>3.1750158762886596</v>
      </c>
      <c r="H74">
        <v>3.0007653999999997</v>
      </c>
      <c r="I74">
        <v>1.3623474916</v>
      </c>
      <c r="J74">
        <v>2.0321318122207916</v>
      </c>
      <c r="K74">
        <v>0.92258784274823946</v>
      </c>
      <c r="L74">
        <v>1.3739398755547247</v>
      </c>
      <c r="M74">
        <v>0.6237687035018451</v>
      </c>
      <c r="N74">
        <v>27</v>
      </c>
      <c r="O74">
        <v>0.6</v>
      </c>
      <c r="P74">
        <v>6.2</v>
      </c>
      <c r="Q74">
        <v>75.63</v>
      </c>
      <c r="R74">
        <f t="shared" si="3"/>
        <v>17.564810824265177</v>
      </c>
    </row>
    <row r="75" spans="1:18">
      <c r="A75">
        <v>75</v>
      </c>
      <c r="B75" t="s">
        <v>341</v>
      </c>
      <c r="C75">
        <v>93</v>
      </c>
      <c r="D75">
        <v>9.5</v>
      </c>
      <c r="E75">
        <v>47</v>
      </c>
      <c r="F75">
        <v>43</v>
      </c>
      <c r="G75">
        <f t="shared" si="4"/>
        <v>1.6841375257731956</v>
      </c>
      <c r="H75">
        <v>1.5546133999999998</v>
      </c>
      <c r="I75">
        <v>0.70579448359999997</v>
      </c>
      <c r="J75">
        <v>0.71574967240372911</v>
      </c>
      <c r="K75">
        <v>0.32495035127129301</v>
      </c>
      <c r="L75">
        <v>0.18286200350870452</v>
      </c>
      <c r="M75">
        <v>8.301934959295186E-2</v>
      </c>
      <c r="N75">
        <v>68.5</v>
      </c>
      <c r="O75">
        <v>0.65</v>
      </c>
      <c r="P75">
        <v>4.5</v>
      </c>
      <c r="Q75">
        <v>23.17</v>
      </c>
      <c r="R75">
        <f t="shared" si="3"/>
        <v>30.41187487196828</v>
      </c>
    </row>
    <row r="76" spans="1:18">
      <c r="A76">
        <v>76</v>
      </c>
      <c r="B76" t="s">
        <v>342</v>
      </c>
      <c r="C76">
        <v>91</v>
      </c>
      <c r="D76">
        <v>50</v>
      </c>
      <c r="E76">
        <v>73</v>
      </c>
      <c r="F76">
        <v>77</v>
      </c>
      <c r="G76">
        <f t="shared" si="4"/>
        <v>2.9513841237113403</v>
      </c>
      <c r="H76">
        <v>2.7838425999999998</v>
      </c>
      <c r="I76">
        <v>1.2638645404</v>
      </c>
      <c r="J76">
        <v>1.8509235240597759</v>
      </c>
      <c r="K76">
        <v>0.84031927992313826</v>
      </c>
      <c r="L76">
        <v>1.217799670990042</v>
      </c>
      <c r="M76">
        <v>0.55288105062947912</v>
      </c>
      <c r="N76">
        <v>27</v>
      </c>
      <c r="O76">
        <v>0.2</v>
      </c>
      <c r="P76">
        <v>7.8</v>
      </c>
      <c r="Q76">
        <v>71.900000000000006</v>
      </c>
      <c r="R76">
        <f t="shared" si="3"/>
        <v>17.174674789441234</v>
      </c>
    </row>
    <row r="77" spans="1:18">
      <c r="A77">
        <v>77</v>
      </c>
      <c r="B77" t="s">
        <v>343</v>
      </c>
      <c r="C77">
        <v>88</v>
      </c>
      <c r="D77">
        <v>10</v>
      </c>
      <c r="E77">
        <v>60</v>
      </c>
      <c r="F77">
        <v>85</v>
      </c>
      <c r="G77">
        <f t="shared" si="4"/>
        <v>3.2495597938144329</v>
      </c>
      <c r="H77">
        <v>3.0730729999999995</v>
      </c>
      <c r="I77">
        <v>1.3951751419999998</v>
      </c>
      <c r="J77">
        <v>2.0915935830899812</v>
      </c>
      <c r="K77">
        <v>0.94958348672285153</v>
      </c>
      <c r="L77">
        <v>1.4246076480739429</v>
      </c>
      <c r="M77">
        <v>0.64677187222557009</v>
      </c>
      <c r="N77">
        <v>0</v>
      </c>
      <c r="O77">
        <v>0.2</v>
      </c>
      <c r="P77">
        <v>2.1</v>
      </c>
      <c r="Q77">
        <v>85.71</v>
      </c>
      <c r="R77">
        <f t="shared" si="3"/>
        <v>15.862977689090641</v>
      </c>
    </row>
    <row r="78" spans="1:18">
      <c r="A78">
        <v>78</v>
      </c>
      <c r="B78" t="s">
        <v>344</v>
      </c>
      <c r="C78">
        <v>91</v>
      </c>
      <c r="D78">
        <v>14</v>
      </c>
      <c r="E78">
        <v>50</v>
      </c>
      <c r="F78">
        <v>83</v>
      </c>
      <c r="G78">
        <f t="shared" si="4"/>
        <v>3.1750158762886596</v>
      </c>
      <c r="H78">
        <v>3.0007653999999997</v>
      </c>
      <c r="I78">
        <v>1.3623474916</v>
      </c>
      <c r="J78">
        <v>2.0321318122207916</v>
      </c>
      <c r="K78">
        <v>0.92258784274823946</v>
      </c>
      <c r="L78">
        <v>1.3739398755547247</v>
      </c>
      <c r="M78">
        <v>0.6237687035018451</v>
      </c>
      <c r="N78">
        <v>23</v>
      </c>
      <c r="O78">
        <v>0.3</v>
      </c>
      <c r="P78">
        <v>17</v>
      </c>
      <c r="Q78">
        <v>66.64</v>
      </c>
      <c r="R78">
        <f t="shared" si="3"/>
        <v>19.934373388943207</v>
      </c>
    </row>
    <row r="79" spans="1:18">
      <c r="A79">
        <v>79</v>
      </c>
      <c r="B79" t="s">
        <v>345</v>
      </c>
      <c r="C79">
        <v>88.81</v>
      </c>
      <c r="D79">
        <v>8</v>
      </c>
      <c r="E79">
        <v>45</v>
      </c>
      <c r="F79">
        <v>83</v>
      </c>
      <c r="G79">
        <f t="shared" si="4"/>
        <v>3.1750158762886596</v>
      </c>
      <c r="H79">
        <v>3.0007653999999997</v>
      </c>
      <c r="I79">
        <v>1.3623474916</v>
      </c>
      <c r="J79">
        <v>2.0321318122207916</v>
      </c>
      <c r="K79">
        <v>0.92258784274823946</v>
      </c>
      <c r="L79">
        <v>1.3739398755547247</v>
      </c>
      <c r="M79">
        <v>0.6237687035018451</v>
      </c>
      <c r="N79">
        <v>8.17</v>
      </c>
      <c r="O79">
        <v>0.6</v>
      </c>
      <c r="P79">
        <v>1.84</v>
      </c>
      <c r="Q79">
        <v>86.26</v>
      </c>
      <c r="R79">
        <f t="shared" si="3"/>
        <v>15.400262492918795</v>
      </c>
    </row>
    <row r="80" spans="1:18">
      <c r="A80">
        <v>80</v>
      </c>
      <c r="B80" t="s">
        <v>346</v>
      </c>
      <c r="C80">
        <v>92</v>
      </c>
      <c r="D80">
        <v>3.3</v>
      </c>
      <c r="E80">
        <v>45</v>
      </c>
      <c r="F80">
        <v>31.5</v>
      </c>
      <c r="G80">
        <f t="shared" si="4"/>
        <v>1.2555099999999999</v>
      </c>
      <c r="H80">
        <v>1.1388446999999999</v>
      </c>
      <c r="I80">
        <v>0.51703549380000002</v>
      </c>
      <c r="J80">
        <v>0.27674472333621902</v>
      </c>
      <c r="K80">
        <v>0.12564210439464343</v>
      </c>
      <c r="L80">
        <v>0</v>
      </c>
      <c r="M80">
        <v>0</v>
      </c>
      <c r="N80">
        <v>53.8</v>
      </c>
      <c r="O80">
        <v>0.6</v>
      </c>
      <c r="P80">
        <v>4.3</v>
      </c>
      <c r="Q80">
        <v>83.46</v>
      </c>
      <c r="R80">
        <f t="shared" si="3"/>
        <v>6.2940975796788887</v>
      </c>
    </row>
    <row r="81" spans="1:18">
      <c r="A81">
        <v>82</v>
      </c>
      <c r="B81" t="s">
        <v>347</v>
      </c>
      <c r="C81">
        <v>90</v>
      </c>
      <c r="D81">
        <v>12.4</v>
      </c>
      <c r="E81">
        <v>47</v>
      </c>
      <c r="F81">
        <v>68</v>
      </c>
      <c r="G81">
        <f t="shared" si="4"/>
        <v>2.6159364948453612</v>
      </c>
      <c r="H81">
        <v>2.4584584</v>
      </c>
      <c r="I81">
        <v>1.1161401136</v>
      </c>
      <c r="J81">
        <v>1.5700327087770276</v>
      </c>
      <c r="K81">
        <v>0.71279484978477059</v>
      </c>
      <c r="L81">
        <v>0.97063123377619531</v>
      </c>
      <c r="M81">
        <v>0.44066658013439269</v>
      </c>
      <c r="N81">
        <v>65</v>
      </c>
      <c r="O81">
        <v>0.4</v>
      </c>
      <c r="P81">
        <v>2.2799999999999998</v>
      </c>
      <c r="Q81">
        <v>65.19</v>
      </c>
      <c r="R81">
        <f t="shared" si="3"/>
        <v>16.78950497688755</v>
      </c>
    </row>
    <row r="82" spans="1:18">
      <c r="A82">
        <v>83</v>
      </c>
      <c r="B82" t="s">
        <v>348</v>
      </c>
      <c r="C82">
        <v>89</v>
      </c>
      <c r="D82">
        <v>52.8</v>
      </c>
      <c r="E82">
        <v>70.400000000000006</v>
      </c>
      <c r="F82">
        <v>79.5</v>
      </c>
      <c r="G82">
        <f t="shared" si="4"/>
        <v>3.0445640206185569</v>
      </c>
      <c r="H82">
        <v>2.8742271000000001</v>
      </c>
      <c r="I82">
        <v>1.3048991034000001</v>
      </c>
      <c r="J82">
        <v>1.926965461695485</v>
      </c>
      <c r="K82">
        <v>0.87484231960975023</v>
      </c>
      <c r="L82">
        <v>1.2836399550777542</v>
      </c>
      <c r="M82">
        <v>0.5827725396053004</v>
      </c>
      <c r="N82">
        <v>11.3</v>
      </c>
      <c r="O82">
        <v>0.2</v>
      </c>
      <c r="P82">
        <v>1.9</v>
      </c>
      <c r="Q82">
        <v>71.239999999999995</v>
      </c>
      <c r="R82">
        <f t="shared" si="3"/>
        <v>17.881044163767609</v>
      </c>
    </row>
    <row r="83" spans="1:18">
      <c r="A83">
        <v>84</v>
      </c>
      <c r="B83" t="s">
        <v>349</v>
      </c>
      <c r="C83">
        <v>88</v>
      </c>
      <c r="D83">
        <v>40</v>
      </c>
      <c r="E83">
        <v>71</v>
      </c>
      <c r="F83">
        <v>91</v>
      </c>
      <c r="G83">
        <f t="shared" si="4"/>
        <v>3.4731915463917531</v>
      </c>
      <c r="H83">
        <v>3.2899958000000002</v>
      </c>
      <c r="I83">
        <v>1.4936580932000001</v>
      </c>
      <c r="J83">
        <v>2.2674893622389645</v>
      </c>
      <c r="K83">
        <v>1.0294401704564899</v>
      </c>
      <c r="L83">
        <v>1.5728615065824036</v>
      </c>
      <c r="M83">
        <v>0.71407912398841122</v>
      </c>
      <c r="N83">
        <v>18</v>
      </c>
      <c r="O83">
        <v>0.3</v>
      </c>
      <c r="P83">
        <v>20.6</v>
      </c>
      <c r="Q83">
        <v>71.66</v>
      </c>
      <c r="R83">
        <f t="shared" si="3"/>
        <v>20.278863285100609</v>
      </c>
    </row>
    <row r="84" spans="1:18">
      <c r="A84">
        <v>85</v>
      </c>
      <c r="B84" t="s">
        <v>350</v>
      </c>
      <c r="C84">
        <v>90</v>
      </c>
      <c r="D84">
        <v>4</v>
      </c>
      <c r="E84">
        <v>35</v>
      </c>
      <c r="F84">
        <v>40</v>
      </c>
      <c r="G84">
        <f t="shared" si="4"/>
        <v>1.572321649484536</v>
      </c>
      <c r="H84">
        <v>1.4461519999999999</v>
      </c>
      <c r="I84">
        <v>0.65655300799999994</v>
      </c>
      <c r="J84">
        <v>0.60437755620585709</v>
      </c>
      <c r="K84">
        <v>0.27438741051745913</v>
      </c>
      <c r="L84">
        <v>7.6537865109784997E-2</v>
      </c>
      <c r="M84">
        <v>3.4748190759842389E-2</v>
      </c>
      <c r="N84">
        <v>73</v>
      </c>
      <c r="O84">
        <v>0.5</v>
      </c>
      <c r="P84">
        <v>2.2000000000000002</v>
      </c>
      <c r="Q84">
        <v>58.71</v>
      </c>
      <c r="R84">
        <f t="shared" si="3"/>
        <v>11.205235533032363</v>
      </c>
    </row>
    <row r="85" spans="1:18">
      <c r="A85">
        <v>86</v>
      </c>
      <c r="B85" t="s">
        <v>351</v>
      </c>
      <c r="C85">
        <v>92</v>
      </c>
      <c r="D85">
        <v>32</v>
      </c>
      <c r="E85">
        <v>71</v>
      </c>
      <c r="F85">
        <v>66</v>
      </c>
      <c r="G85">
        <f t="shared" si="4"/>
        <v>2.5413925773195882</v>
      </c>
      <c r="H85">
        <v>2.3861508000000002</v>
      </c>
      <c r="I85">
        <v>1.0833124632000002</v>
      </c>
      <c r="J85">
        <v>1.5059475109997909</v>
      </c>
      <c r="K85">
        <v>0.68370016999390504</v>
      </c>
      <c r="L85">
        <v>0.91337759696881893</v>
      </c>
      <c r="M85">
        <v>0.4146734290238438</v>
      </c>
      <c r="N85">
        <v>40</v>
      </c>
      <c r="O85">
        <v>0.5</v>
      </c>
      <c r="P85">
        <v>11.5</v>
      </c>
      <c r="Q85">
        <v>58.71</v>
      </c>
      <c r="R85">
        <f>(G85/(Q85/100))*4.184</f>
        <v>18.111372072057843</v>
      </c>
    </row>
    <row r="86" spans="1:18">
      <c r="A86">
        <v>87</v>
      </c>
      <c r="B86" t="s">
        <v>352</v>
      </c>
      <c r="C86">
        <v>89</v>
      </c>
      <c r="D86">
        <v>13.8</v>
      </c>
      <c r="E86">
        <v>64</v>
      </c>
      <c r="F86">
        <v>86.8</v>
      </c>
      <c r="G86">
        <f t="shared" si="4"/>
        <v>3.3166493195876288</v>
      </c>
      <c r="H86">
        <v>3.1381498399999996</v>
      </c>
      <c r="I86">
        <v>1.4247200273599998</v>
      </c>
      <c r="J86">
        <v>2.1447401637048498</v>
      </c>
      <c r="K86">
        <v>0.97371203432200182</v>
      </c>
      <c r="L86">
        <v>1.4696577828815323</v>
      </c>
      <c r="M86">
        <v>0.6672246334282157</v>
      </c>
      <c r="N86">
        <v>12.4</v>
      </c>
      <c r="O86">
        <v>0.3</v>
      </c>
      <c r="P86">
        <v>1.9</v>
      </c>
      <c r="Q86">
        <v>88.66</v>
      </c>
      <c r="R86">
        <f t="shared" si="3"/>
        <v>15.651771659321724</v>
      </c>
    </row>
    <row r="87" spans="1:18">
      <c r="A87">
        <v>88</v>
      </c>
      <c r="B87" t="s">
        <v>353</v>
      </c>
      <c r="C87">
        <v>90</v>
      </c>
      <c r="D87">
        <v>17.5</v>
      </c>
      <c r="E87">
        <v>64</v>
      </c>
      <c r="F87">
        <v>71.900000000000006</v>
      </c>
      <c r="G87">
        <f t="shared" si="4"/>
        <v>2.7612971340206185</v>
      </c>
      <c r="H87">
        <v>2.5994582199999998</v>
      </c>
      <c r="I87">
        <v>1.1801540318799999</v>
      </c>
      <c r="J87">
        <v>1.6931991596263454</v>
      </c>
      <c r="K87">
        <v>0.76871241847036087</v>
      </c>
      <c r="L87">
        <v>1.0797740067600241</v>
      </c>
      <c r="M87">
        <v>0.49021739906905099</v>
      </c>
      <c r="N87">
        <v>40</v>
      </c>
      <c r="O87">
        <v>0.4</v>
      </c>
      <c r="P87">
        <v>4.3</v>
      </c>
      <c r="Q87">
        <v>71.95</v>
      </c>
      <c r="R87">
        <f>(G87/(Q87/100))*4.184</f>
        <v>16.057355397834979</v>
      </c>
    </row>
    <row r="88" spans="1:18">
      <c r="A88">
        <v>89</v>
      </c>
      <c r="B88" t="s">
        <v>354</v>
      </c>
      <c r="C88">
        <v>89</v>
      </c>
      <c r="D88">
        <v>18.5</v>
      </c>
      <c r="E88">
        <v>68</v>
      </c>
      <c r="F88">
        <v>72.900000000000006</v>
      </c>
      <c r="G88">
        <f t="shared" si="4"/>
        <v>2.7985690927835054</v>
      </c>
      <c r="H88">
        <v>2.6356120199999999</v>
      </c>
      <c r="I88">
        <v>1.19656785708</v>
      </c>
      <c r="J88">
        <v>1.7244138326901588</v>
      </c>
      <c r="K88">
        <v>0.78288388004133214</v>
      </c>
      <c r="L88">
        <v>1.1072460610949006</v>
      </c>
      <c r="M88">
        <v>0.50268971173708488</v>
      </c>
      <c r="N88">
        <v>38.299999999999997</v>
      </c>
      <c r="O88">
        <v>0.3</v>
      </c>
      <c r="P88">
        <v>4.0999999999999996</v>
      </c>
      <c r="Q88">
        <v>79.11</v>
      </c>
      <c r="R88">
        <f t="shared" si="3"/>
        <v>14.801179476938676</v>
      </c>
    </row>
    <row r="89" spans="1:18">
      <c r="A89">
        <v>90</v>
      </c>
      <c r="B89" t="s">
        <v>355</v>
      </c>
      <c r="C89">
        <v>90</v>
      </c>
      <c r="D89">
        <v>17</v>
      </c>
      <c r="E89">
        <v>72</v>
      </c>
      <c r="F89">
        <v>75</v>
      </c>
      <c r="G89">
        <f t="shared" si="4"/>
        <v>2.8768402061855674</v>
      </c>
      <c r="H89">
        <v>2.711535</v>
      </c>
      <c r="I89">
        <v>1.2310368900000002</v>
      </c>
      <c r="J89">
        <v>1.7895003785133232</v>
      </c>
      <c r="K89">
        <v>0.81243317184504882</v>
      </c>
      <c r="L89">
        <v>1.164281729047608</v>
      </c>
      <c r="M89">
        <v>0.52858390498761398</v>
      </c>
      <c r="N89">
        <v>37</v>
      </c>
      <c r="O89">
        <v>0.3</v>
      </c>
      <c r="P89">
        <v>4.4000000000000004</v>
      </c>
      <c r="Q89">
        <v>79.11</v>
      </c>
      <c r="R89">
        <f t="shared" si="3"/>
        <v>15.215142741348014</v>
      </c>
    </row>
    <row r="90" spans="1:18">
      <c r="A90">
        <v>94</v>
      </c>
      <c r="B90" t="s">
        <v>299</v>
      </c>
      <c r="F90">
        <v>70</v>
      </c>
      <c r="G90">
        <f t="shared" si="4"/>
        <v>2.6904804123711337</v>
      </c>
      <c r="H90">
        <v>2.5307659999999994</v>
      </c>
      <c r="I90">
        <v>1.1489677639999998</v>
      </c>
      <c r="J90">
        <v>1.6334846591300103</v>
      </c>
      <c r="K90">
        <v>0.74160203524502466</v>
      </c>
      <c r="L90">
        <v>1.027006287674411</v>
      </c>
      <c r="M90">
        <v>0.46626085460418265</v>
      </c>
    </row>
    <row r="91" spans="1:18">
      <c r="A91">
        <v>95</v>
      </c>
      <c r="B91" t="s">
        <v>299</v>
      </c>
      <c r="F91">
        <v>70</v>
      </c>
      <c r="G91">
        <f t="shared" si="4"/>
        <v>2.6904804123711337</v>
      </c>
      <c r="H91">
        <v>2.5307659999999994</v>
      </c>
      <c r="I91">
        <v>1.1489677639999998</v>
      </c>
      <c r="J91">
        <v>1.6334846591300103</v>
      </c>
      <c r="K91">
        <v>0.74160203524502466</v>
      </c>
      <c r="L91">
        <v>1.027006287674411</v>
      </c>
      <c r="M91">
        <v>0.46626085460418265</v>
      </c>
    </row>
    <row r="92" spans="1:18">
      <c r="A92">
        <v>96</v>
      </c>
      <c r="B92" t="s">
        <v>299</v>
      </c>
      <c r="F92">
        <v>70</v>
      </c>
      <c r="G92">
        <f t="shared" si="4"/>
        <v>2.6904804123711337</v>
      </c>
      <c r="H92">
        <v>2.5307659999999994</v>
      </c>
      <c r="I92">
        <v>1.1489677639999998</v>
      </c>
      <c r="J92">
        <v>1.6334846591300103</v>
      </c>
      <c r="K92">
        <v>0.74160203524502466</v>
      </c>
      <c r="L92">
        <v>1.027006287674411</v>
      </c>
      <c r="M92">
        <v>0.46626085460418265</v>
      </c>
    </row>
    <row r="93" spans="1:18">
      <c r="A93">
        <v>97</v>
      </c>
      <c r="B93" t="s">
        <v>299</v>
      </c>
      <c r="F93">
        <v>70</v>
      </c>
      <c r="G93">
        <f t="shared" si="4"/>
        <v>2.6904804123711337</v>
      </c>
      <c r="H93">
        <v>2.5307659999999994</v>
      </c>
      <c r="I93">
        <v>1.1489677639999998</v>
      </c>
      <c r="J93">
        <v>1.6334846591300103</v>
      </c>
      <c r="K93">
        <v>0.74160203524502466</v>
      </c>
      <c r="L93">
        <v>1.027006287674411</v>
      </c>
      <c r="M93">
        <v>0.46626085460418265</v>
      </c>
    </row>
    <row r="94" spans="1:18">
      <c r="A94">
        <v>98</v>
      </c>
      <c r="B94" t="s">
        <v>356</v>
      </c>
      <c r="C94">
        <v>91</v>
      </c>
      <c r="D94">
        <v>18.456</v>
      </c>
      <c r="E94">
        <v>70</v>
      </c>
      <c r="F94">
        <v>57.332000000000001</v>
      </c>
      <c r="G94">
        <f t="shared" si="4"/>
        <v>2.2183192387628869</v>
      </c>
      <c r="H94">
        <v>2.0727696616000002</v>
      </c>
      <c r="I94">
        <v>0.94103742636640009</v>
      </c>
      <c r="J94">
        <v>1.22030144991166</v>
      </c>
      <c r="K94">
        <v>0.55401685825989366</v>
      </c>
      <c r="L94">
        <v>0.65440963597626434</v>
      </c>
      <c r="M94">
        <v>0.29710197473322403</v>
      </c>
      <c r="N94">
        <v>45.677</v>
      </c>
      <c r="O94">
        <v>0.4</v>
      </c>
      <c r="P94">
        <v>2.4369999999999998</v>
      </c>
      <c r="Q94">
        <v>64.180000000000007</v>
      </c>
      <c r="R94">
        <f t="shared" ref="R94:R97" si="5">(G94/(Q94/100))*4.184</f>
        <v>14.461588804898597</v>
      </c>
    </row>
    <row r="95" spans="1:18">
      <c r="A95">
        <v>99</v>
      </c>
      <c r="B95" t="s">
        <v>357</v>
      </c>
      <c r="C95">
        <v>91</v>
      </c>
      <c r="D95">
        <v>17.100000000000001</v>
      </c>
      <c r="E95">
        <v>71</v>
      </c>
      <c r="F95">
        <v>57</v>
      </c>
      <c r="G95">
        <f t="shared" si="4"/>
        <v>2.2059449484536082</v>
      </c>
      <c r="H95">
        <v>2.0607665999999996</v>
      </c>
      <c r="I95">
        <v>0.93558803639999988</v>
      </c>
      <c r="J95">
        <v>1.2090890829722096</v>
      </c>
      <c r="K95">
        <v>0.54892644366938315</v>
      </c>
      <c r="L95">
        <v>0.64412177411195115</v>
      </c>
      <c r="M95">
        <v>0.24921260542589996</v>
      </c>
      <c r="N95">
        <v>45.5</v>
      </c>
      <c r="O95">
        <v>0.6</v>
      </c>
      <c r="P95">
        <v>2.2000000000000002</v>
      </c>
      <c r="Q95">
        <v>61.65</v>
      </c>
      <c r="R95">
        <f t="shared" si="5"/>
        <v>14.971084613673801</v>
      </c>
    </row>
    <row r="96" spans="1:18">
      <c r="A96">
        <v>100</v>
      </c>
      <c r="B96" t="s">
        <v>358</v>
      </c>
      <c r="C96">
        <v>91</v>
      </c>
      <c r="D96">
        <v>17.899999999999999</v>
      </c>
      <c r="E96">
        <v>69</v>
      </c>
      <c r="F96">
        <v>57</v>
      </c>
      <c r="G96">
        <f t="shared" si="4"/>
        <v>2.2059449484536082</v>
      </c>
      <c r="H96">
        <v>2.0607665999999996</v>
      </c>
      <c r="I96">
        <v>0.93558803639999988</v>
      </c>
      <c r="J96">
        <v>1.2090890829722096</v>
      </c>
      <c r="K96">
        <v>0.54892644366938315</v>
      </c>
      <c r="L96">
        <v>0.64412177411195115</v>
      </c>
      <c r="M96">
        <v>0.24921260542589996</v>
      </c>
      <c r="N96">
        <v>46.7</v>
      </c>
      <c r="O96">
        <v>0.4</v>
      </c>
      <c r="P96">
        <v>2.4</v>
      </c>
      <c r="Q96">
        <v>64.180000000000007</v>
      </c>
      <c r="R96">
        <f t="shared" si="5"/>
        <v>14.380918766484724</v>
      </c>
    </row>
    <row r="97" spans="1:18">
      <c r="A97">
        <v>101</v>
      </c>
      <c r="B97" t="s">
        <v>359</v>
      </c>
      <c r="C97">
        <v>75</v>
      </c>
      <c r="D97">
        <v>5.8</v>
      </c>
      <c r="E97">
        <v>50</v>
      </c>
      <c r="F97">
        <v>72</v>
      </c>
      <c r="G97">
        <f t="shared" si="4"/>
        <v>2.7650243298969071</v>
      </c>
      <c r="H97">
        <v>2.6030735999999997</v>
      </c>
      <c r="I97">
        <v>1.1817954143999998</v>
      </c>
      <c r="J97">
        <v>1.69632717935123</v>
      </c>
      <c r="K97">
        <v>0.77013253942545845</v>
      </c>
      <c r="L97">
        <v>1.0825304320890257</v>
      </c>
      <c r="M97">
        <v>0.34964017289915816</v>
      </c>
      <c r="N97">
        <v>0</v>
      </c>
      <c r="O97">
        <v>0</v>
      </c>
      <c r="P97">
        <v>1</v>
      </c>
      <c r="Q97">
        <v>82.57</v>
      </c>
      <c r="R97">
        <f t="shared" si="5"/>
        <v>14.010974683648616</v>
      </c>
    </row>
    <row r="98" spans="1:18">
      <c r="A98">
        <v>102</v>
      </c>
      <c r="B98" t="s">
        <v>360</v>
      </c>
      <c r="C98">
        <v>61</v>
      </c>
      <c r="D98">
        <v>20</v>
      </c>
      <c r="E98">
        <v>85</v>
      </c>
      <c r="F98">
        <v>75</v>
      </c>
      <c r="G98">
        <f t="shared" si="4"/>
        <v>2.8768402061855674</v>
      </c>
      <c r="H98">
        <v>2.711535</v>
      </c>
      <c r="I98">
        <v>1.2310368900000002</v>
      </c>
      <c r="J98">
        <v>1.7895003785133232</v>
      </c>
      <c r="K98">
        <v>0.81243317184504882</v>
      </c>
      <c r="L98">
        <v>1.164281729047608</v>
      </c>
      <c r="M98">
        <v>0.52858390498761398</v>
      </c>
      <c r="N98">
        <v>0</v>
      </c>
      <c r="O98">
        <v>0</v>
      </c>
      <c r="P98">
        <v>2.2999999999999998</v>
      </c>
    </row>
    <row r="99" spans="1:18">
      <c r="A99">
        <v>103</v>
      </c>
      <c r="B99" t="s">
        <v>361</v>
      </c>
      <c r="C99">
        <v>60</v>
      </c>
      <c r="D99">
        <v>25</v>
      </c>
      <c r="E99">
        <v>90</v>
      </c>
      <c r="F99">
        <v>72</v>
      </c>
      <c r="G99">
        <f t="shared" si="4"/>
        <v>2.7650243298969071</v>
      </c>
      <c r="H99">
        <v>2.6030735999999997</v>
      </c>
      <c r="I99">
        <v>1.1817954143999998</v>
      </c>
      <c r="J99">
        <v>1.69632717935123</v>
      </c>
      <c r="K99">
        <v>0.77013253942545845</v>
      </c>
      <c r="L99">
        <v>1.0825304320890257</v>
      </c>
      <c r="M99">
        <v>0.49146881616841764</v>
      </c>
      <c r="N99">
        <v>0</v>
      </c>
      <c r="O99">
        <v>0</v>
      </c>
      <c r="P99">
        <v>0.8</v>
      </c>
    </row>
    <row r="100" spans="1:18">
      <c r="A100">
        <v>104</v>
      </c>
      <c r="B100" t="s">
        <v>362</v>
      </c>
      <c r="C100">
        <v>59</v>
      </c>
      <c r="D100">
        <v>30</v>
      </c>
      <c r="E100">
        <v>95</v>
      </c>
      <c r="F100">
        <v>72</v>
      </c>
      <c r="G100">
        <f t="shared" si="4"/>
        <v>2.7650243298969071</v>
      </c>
      <c r="H100">
        <v>2.6030735999999997</v>
      </c>
      <c r="I100">
        <v>1.1817954143999998</v>
      </c>
      <c r="J100">
        <v>1.69632717935123</v>
      </c>
      <c r="K100">
        <v>0.77013253942545845</v>
      </c>
      <c r="L100">
        <v>1.0825304320890257</v>
      </c>
      <c r="M100">
        <v>0.49146881616841764</v>
      </c>
      <c r="N100">
        <v>0</v>
      </c>
      <c r="O100">
        <v>0</v>
      </c>
    </row>
    <row r="101" spans="1:18">
      <c r="A101">
        <v>105</v>
      </c>
      <c r="B101" t="s">
        <v>363</v>
      </c>
      <c r="C101">
        <v>87</v>
      </c>
      <c r="D101">
        <v>28.7</v>
      </c>
      <c r="E101">
        <v>65</v>
      </c>
      <c r="F101">
        <v>82</v>
      </c>
      <c r="G101">
        <f t="shared" si="4"/>
        <v>3.1377439175257731</v>
      </c>
      <c r="H101">
        <v>2.9646115999999996</v>
      </c>
      <c r="I101">
        <v>1.3459336663999999</v>
      </c>
      <c r="J101">
        <v>2.0022319337180088</v>
      </c>
      <c r="K101">
        <v>0.90901329790797603</v>
      </c>
      <c r="L101">
        <v>1.3483560818026636</v>
      </c>
      <c r="M101">
        <v>0.6121536611384093</v>
      </c>
      <c r="N101">
        <v>25</v>
      </c>
      <c r="O101">
        <v>0.2</v>
      </c>
      <c r="P101">
        <v>1</v>
      </c>
    </row>
    <row r="102" spans="1:18">
      <c r="A102">
        <v>106</v>
      </c>
      <c r="B102" t="s">
        <v>364</v>
      </c>
      <c r="C102">
        <v>89</v>
      </c>
      <c r="D102">
        <v>22.5</v>
      </c>
      <c r="E102">
        <v>60</v>
      </c>
      <c r="F102">
        <v>77</v>
      </c>
      <c r="G102">
        <f t="shared" si="4"/>
        <v>2.9513841237113403</v>
      </c>
      <c r="H102">
        <v>2.7838425999999998</v>
      </c>
      <c r="I102">
        <v>1.2638645404</v>
      </c>
      <c r="J102">
        <v>1.8509235240597759</v>
      </c>
      <c r="K102">
        <v>0.84031927992313826</v>
      </c>
      <c r="L102">
        <v>1.217799670990042</v>
      </c>
      <c r="M102">
        <v>0.55288105062947912</v>
      </c>
      <c r="N102">
        <v>25</v>
      </c>
      <c r="O102">
        <v>0.3</v>
      </c>
      <c r="P102">
        <v>2.25</v>
      </c>
    </row>
    <row r="103" spans="1:18">
      <c r="A103">
        <v>107</v>
      </c>
      <c r="B103" t="s">
        <v>365</v>
      </c>
      <c r="C103">
        <v>89</v>
      </c>
      <c r="D103">
        <v>28</v>
      </c>
      <c r="E103">
        <v>65</v>
      </c>
      <c r="F103">
        <v>76</v>
      </c>
      <c r="G103">
        <f t="shared" si="4"/>
        <v>2.9141121649484534</v>
      </c>
      <c r="H103">
        <v>2.7476887999999997</v>
      </c>
      <c r="I103">
        <v>1.2474507151999998</v>
      </c>
      <c r="J103">
        <v>1.8202791985683366</v>
      </c>
      <c r="K103">
        <v>0.8264067561500249</v>
      </c>
      <c r="L103">
        <v>1.1911366861696902</v>
      </c>
      <c r="M103">
        <v>0.54077605552103936</v>
      </c>
      <c r="N103">
        <v>20</v>
      </c>
      <c r="O103">
        <v>0.3</v>
      </c>
      <c r="P103">
        <v>2.5</v>
      </c>
    </row>
    <row r="104" spans="1:18">
      <c r="A104">
        <v>108</v>
      </c>
      <c r="B104" t="s">
        <v>366</v>
      </c>
      <c r="C104">
        <v>89</v>
      </c>
      <c r="D104">
        <v>35.5</v>
      </c>
      <c r="E104">
        <v>70</v>
      </c>
      <c r="F104">
        <v>76</v>
      </c>
      <c r="G104">
        <f t="shared" si="4"/>
        <v>2.9141121649484534</v>
      </c>
      <c r="H104">
        <v>2.7476887999999997</v>
      </c>
      <c r="I104">
        <v>1.2474507151999998</v>
      </c>
      <c r="J104">
        <v>1.8202791985683366</v>
      </c>
      <c r="K104">
        <v>0.8264067561500249</v>
      </c>
      <c r="L104">
        <v>1.1911366861696902</v>
      </c>
      <c r="M104">
        <v>0.54077605552103936</v>
      </c>
      <c r="N104">
        <v>18</v>
      </c>
      <c r="O104">
        <v>0.3</v>
      </c>
      <c r="P104">
        <v>1.8</v>
      </c>
    </row>
    <row r="105" spans="1:18">
      <c r="A105">
        <v>109</v>
      </c>
      <c r="B105" t="s">
        <v>367</v>
      </c>
      <c r="C105">
        <v>89</v>
      </c>
      <c r="D105">
        <v>42.7</v>
      </c>
      <c r="E105">
        <v>75</v>
      </c>
      <c r="F105">
        <v>78</v>
      </c>
      <c r="G105">
        <f t="shared" si="4"/>
        <v>2.9886560824742272</v>
      </c>
      <c r="H105">
        <v>2.8199964</v>
      </c>
      <c r="I105">
        <v>1.2802783656000001</v>
      </c>
      <c r="J105">
        <v>1.8814363321492031</v>
      </c>
      <c r="K105">
        <v>0.8541720947957383</v>
      </c>
      <c r="L105">
        <v>1.2442741426868578</v>
      </c>
      <c r="M105">
        <v>0.56490046077983347</v>
      </c>
      <c r="N105">
        <v>15</v>
      </c>
      <c r="O105">
        <v>0.3</v>
      </c>
      <c r="P105">
        <v>3</v>
      </c>
    </row>
    <row r="108" spans="1:18">
      <c r="A108" t="s">
        <v>426</v>
      </c>
      <c r="B108" t="s">
        <v>427</v>
      </c>
    </row>
  </sheetData>
  <sheetProtection algorithmName="SHA-512" hashValue="WJRZSrkzL4uxft5Kd0ojiIQiftzUKpjf8Zaslr5QKFNKMq2WjMi7Z1Fhja7OEfeitSk8oxdTuY8jlf0CUJg6eg==" saltValue="lKd3Po32ZDh0IS59BAtPc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vt:lpstr>
      <vt:lpstr>Guidelines</vt:lpstr>
      <vt:lpstr>Producer Inputs and Outputs</vt:lpstr>
      <vt:lpstr>User Outputs</vt:lpstr>
      <vt:lpstr>GWP Inputs</vt:lpstr>
      <vt:lpstr>Grazing Production</vt:lpstr>
      <vt:lpstr>Pature Enteric Methane</vt:lpstr>
      <vt:lpstr>Pasture Manure Emissions</vt:lpstr>
      <vt:lpstr>Forage Library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Thompson</dc:creator>
  <cp:lastModifiedBy>Ashley Thackrah</cp:lastModifiedBy>
  <dcterms:created xsi:type="dcterms:W3CDTF">2025-01-14T14:06:00Z</dcterms:created>
  <dcterms:modified xsi:type="dcterms:W3CDTF">2026-05-06T13:35:02Z</dcterms:modified>
</cp:coreProperties>
</file>