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ksuemailprod-my.sharepoint.com/personal/cricket1_ksu_edu/Documents/CORE/Content for communication, media, etc/Resources/"/>
    </mc:Choice>
  </mc:AlternateContent>
  <xr:revisionPtr revIDLastSave="2116" documentId="8_{49475E5B-DF59-49E9-BE38-23A8CCF2B51C}" xr6:coauthVersionLast="47" xr6:coauthVersionMax="47" xr10:uidLastSave="{F73FA38D-D523-4D28-ACD1-BC49F84419D4}"/>
  <bookViews>
    <workbookView xWindow="28680" yWindow="-180" windowWidth="29040" windowHeight="15720" xr2:uid="{9B18638A-2B03-49EB-BC6D-C70F43D2461C}"/>
  </bookViews>
  <sheets>
    <sheet name="Intro" sheetId="10" r:id="rId1"/>
    <sheet name="GUIDELINES" sheetId="11" r:id="rId2"/>
    <sheet name="User Inputs" sheetId="1" r:id="rId3"/>
    <sheet name="User Outputs" sheetId="17" r:id="rId4"/>
    <sheet name="BG Inputs" sheetId="22" state="hidden" r:id="rId5"/>
    <sheet name="Ration Info" sheetId="21" state="hidden" r:id="rId6"/>
    <sheet name="Ingredient Key" sheetId="20" state="hidden" r:id="rId7"/>
    <sheet name="BG Ingredients" sheetId="19" state="hidden" r:id="rId8"/>
    <sheet name="Ingredient List" sheetId="23" r:id="rId9"/>
    <sheet name="Enteric CH4" sheetId="15" state="hidden" r:id="rId10"/>
    <sheet name="N20" sheetId="7" state="hidden" r:id="rId11"/>
    <sheet name="Manure Methane" sheetId="6"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17" l="1"/>
  <c r="C24" i="22"/>
  <c r="C23" i="22"/>
  <c r="I3" i="21"/>
  <c r="H3" i="21"/>
  <c r="B25" i="1" l="1"/>
  <c r="K35" i="22"/>
  <c r="K34" i="22"/>
  <c r="K33" i="22"/>
  <c r="K32" i="22"/>
  <c r="K31" i="22"/>
  <c r="K30" i="22"/>
  <c r="J8" i="22"/>
  <c r="K8" i="22" s="1"/>
  <c r="J7" i="22"/>
  <c r="K7" i="22" s="1"/>
  <c r="J6" i="22"/>
  <c r="K6" i="22" s="1"/>
  <c r="K9" i="22"/>
  <c r="K10" i="22" l="1"/>
  <c r="C3" i="22" s="1"/>
  <c r="C54" i="7" l="1"/>
  <c r="G17" i="7"/>
  <c r="H18" i="7" s="1"/>
  <c r="C11" i="22"/>
  <c r="F3" i="21"/>
  <c r="G5" i="21" l="1"/>
  <c r="F5" i="21"/>
  <c r="C8" i="7"/>
  <c r="C15" i="22"/>
  <c r="C22" i="22" l="1"/>
  <c r="F20" i="7" s="1"/>
  <c r="C21" i="22"/>
  <c r="C20" i="22"/>
  <c r="C17" i="22"/>
  <c r="C16" i="22"/>
  <c r="C8" i="22"/>
  <c r="C7" i="22"/>
  <c r="C6" i="22"/>
  <c r="C5" i="22"/>
  <c r="F21" i="7" s="1"/>
  <c r="C4" i="22"/>
  <c r="C10" i="21"/>
  <c r="I10" i="15" s="1"/>
  <c r="B12" i="6" l="1"/>
  <c r="C12" i="6" s="1"/>
  <c r="F4" i="22"/>
  <c r="G4" i="22" s="1"/>
  <c r="C7" i="6" s="1"/>
  <c r="C18" i="22"/>
  <c r="C19" i="22" s="1"/>
  <c r="F5" i="7" s="1"/>
  <c r="F3" i="22"/>
  <c r="G3" i="22" s="1"/>
  <c r="C10" i="22" s="1"/>
  <c r="C13" i="21"/>
  <c r="C12" i="21"/>
  <c r="J4" i="21"/>
  <c r="J5" i="21"/>
  <c r="J6" i="21"/>
  <c r="J7" i="21"/>
  <c r="J8" i="21"/>
  <c r="J9" i="21"/>
  <c r="J10" i="21"/>
  <c r="J11" i="21"/>
  <c r="J12" i="21"/>
  <c r="J3" i="21"/>
  <c r="G3" i="21"/>
  <c r="F4" i="21"/>
  <c r="F6" i="21"/>
  <c r="F7" i="21"/>
  <c r="F8" i="21"/>
  <c r="F9" i="21"/>
  <c r="F10" i="21"/>
  <c r="F11" i="21"/>
  <c r="F12" i="21"/>
  <c r="I4" i="21"/>
  <c r="I5" i="21"/>
  <c r="I6" i="21"/>
  <c r="I7" i="21"/>
  <c r="I8" i="21"/>
  <c r="I9" i="21"/>
  <c r="I10" i="21"/>
  <c r="I11" i="21"/>
  <c r="I12" i="21"/>
  <c r="H4" i="21"/>
  <c r="H5" i="21"/>
  <c r="H6" i="21"/>
  <c r="H7" i="21"/>
  <c r="H8" i="21"/>
  <c r="H9" i="21"/>
  <c r="H10" i="21"/>
  <c r="H11" i="21"/>
  <c r="H12" i="21"/>
  <c r="G4" i="21"/>
  <c r="G6" i="21"/>
  <c r="G7" i="21"/>
  <c r="G8" i="21"/>
  <c r="G9" i="21"/>
  <c r="G10" i="21"/>
  <c r="G11" i="21"/>
  <c r="G12" i="21"/>
  <c r="F22" i="7" l="1"/>
  <c r="C9" i="21"/>
  <c r="C23" i="7" s="1"/>
  <c r="C3" i="21"/>
  <c r="C8" i="21" s="1"/>
  <c r="C6" i="21"/>
  <c r="C7" i="21"/>
  <c r="C30" i="15" s="1"/>
  <c r="C20" i="7" l="1"/>
  <c r="C15" i="7" s="1"/>
  <c r="C14" i="7" s="1"/>
  <c r="C61" i="15"/>
  <c r="C60" i="15" s="1"/>
  <c r="C27" i="15" s="1"/>
  <c r="F23" i="7"/>
  <c r="C22" i="7" s="1"/>
  <c r="C21" i="7" s="1"/>
  <c r="I20" i="7"/>
  <c r="I21" i="7" s="1"/>
  <c r="C4" i="21"/>
  <c r="C5" i="21"/>
  <c r="C30" i="7" l="1"/>
  <c r="C11" i="20"/>
  <c r="D11" i="20"/>
  <c r="E11" i="20"/>
  <c r="F11" i="20"/>
  <c r="G11" i="20"/>
  <c r="H11" i="20"/>
  <c r="I11" i="20"/>
  <c r="J11" i="20"/>
  <c r="K11" i="20"/>
  <c r="L11" i="20"/>
  <c r="O11" i="20"/>
  <c r="P11" i="20"/>
  <c r="Q11" i="20"/>
  <c r="B11" i="20"/>
  <c r="C134" i="20"/>
  <c r="D134" i="20"/>
  <c r="G134" i="20"/>
  <c r="H134" i="20"/>
  <c r="I134" i="20"/>
  <c r="J134" i="20"/>
  <c r="K134" i="20"/>
  <c r="L134" i="20"/>
  <c r="M134" i="20"/>
  <c r="N134" i="20"/>
  <c r="O134" i="20"/>
  <c r="P134" i="20"/>
  <c r="Q134" i="20"/>
  <c r="B134" i="20"/>
  <c r="E413" i="20"/>
  <c r="E411" i="20"/>
  <c r="E409" i="20"/>
  <c r="E407" i="20"/>
  <c r="E405" i="20"/>
  <c r="E403" i="20"/>
  <c r="E402" i="20"/>
  <c r="E401" i="20"/>
  <c r="E399" i="20"/>
  <c r="E398" i="20"/>
  <c r="E397" i="20"/>
  <c r="E396" i="20"/>
  <c r="E394" i="20"/>
  <c r="E392" i="20"/>
  <c r="E391" i="20"/>
  <c r="E390" i="20"/>
  <c r="E389" i="20"/>
  <c r="E388" i="20"/>
  <c r="E387" i="20"/>
  <c r="E386" i="20"/>
  <c r="E385" i="20"/>
  <c r="E384" i="20"/>
  <c r="E383" i="20"/>
  <c r="E382" i="20"/>
  <c r="E381" i="20"/>
  <c r="E380" i="20"/>
  <c r="E379" i="20"/>
  <c r="E378" i="20"/>
  <c r="E377" i="20"/>
  <c r="E376" i="20"/>
  <c r="E374" i="20"/>
  <c r="E372" i="20"/>
  <c r="E370" i="20"/>
  <c r="E368" i="20"/>
  <c r="E367" i="20"/>
  <c r="E365" i="20"/>
  <c r="E364" i="20"/>
  <c r="E362" i="20"/>
  <c r="E360" i="20"/>
  <c r="E359" i="20"/>
  <c r="E358" i="20"/>
  <c r="E357" i="20"/>
  <c r="E356" i="20"/>
  <c r="E355" i="20"/>
  <c r="E354" i="20"/>
  <c r="E352" i="20"/>
  <c r="E350" i="20"/>
  <c r="E349" i="20"/>
  <c r="E348" i="20"/>
  <c r="E346" i="20"/>
  <c r="E344" i="20"/>
  <c r="E343" i="20"/>
  <c r="E342" i="20"/>
  <c r="E340" i="20"/>
  <c r="E338" i="20"/>
  <c r="E336" i="20"/>
  <c r="E335" i="20"/>
  <c r="E334" i="20"/>
  <c r="E333" i="20"/>
  <c r="E332" i="20"/>
  <c r="E331" i="20"/>
  <c r="E330" i="20"/>
  <c r="E329" i="20"/>
  <c r="E327" i="20"/>
  <c r="E326" i="20"/>
  <c r="E325" i="20"/>
  <c r="E324" i="20"/>
  <c r="E322" i="20"/>
  <c r="E320" i="20"/>
  <c r="E318" i="20"/>
  <c r="E317" i="20"/>
  <c r="E316" i="20"/>
  <c r="E315" i="20"/>
  <c r="E314" i="20"/>
  <c r="E313" i="20"/>
  <c r="E312" i="20"/>
  <c r="E311" i="20"/>
  <c r="E310" i="20"/>
  <c r="E309" i="20"/>
  <c r="E307" i="20"/>
  <c r="E306" i="20"/>
  <c r="E304" i="20"/>
  <c r="E302" i="20"/>
  <c r="E300" i="20"/>
  <c r="E299" i="20"/>
  <c r="E297" i="20"/>
  <c r="E295" i="20"/>
  <c r="E294" i="20"/>
  <c r="E292" i="20"/>
  <c r="E291" i="20"/>
  <c r="E289" i="20"/>
  <c r="E287" i="20"/>
  <c r="E285" i="20"/>
  <c r="E284" i="20"/>
  <c r="E283" i="20"/>
  <c r="E282" i="20"/>
  <c r="E280" i="20"/>
  <c r="E279" i="20"/>
  <c r="E277" i="20"/>
  <c r="E276" i="20"/>
  <c r="E275" i="20"/>
  <c r="E273" i="20"/>
  <c r="E272" i="20"/>
  <c r="E271" i="20"/>
  <c r="E270" i="20"/>
  <c r="E269" i="20"/>
  <c r="E267" i="20"/>
  <c r="E266" i="20"/>
  <c r="E265" i="20"/>
  <c r="E264" i="20"/>
  <c r="E262" i="20"/>
  <c r="E261" i="20"/>
  <c r="E259" i="20"/>
  <c r="E258" i="20"/>
  <c r="E257" i="20"/>
  <c r="E255" i="20"/>
  <c r="E253" i="20"/>
  <c r="E251" i="20"/>
  <c r="E250" i="20"/>
  <c r="E249" i="20"/>
  <c r="E247" i="20"/>
  <c r="E246" i="20"/>
  <c r="E244" i="20"/>
  <c r="E242" i="20"/>
  <c r="E241" i="20"/>
  <c r="E240" i="20"/>
  <c r="E239" i="20"/>
  <c r="E237" i="20"/>
  <c r="E236" i="20"/>
  <c r="E235" i="20"/>
  <c r="E234" i="20"/>
  <c r="E232" i="20"/>
  <c r="E231" i="20"/>
  <c r="E230" i="20"/>
  <c r="E229" i="20"/>
  <c r="E227" i="20"/>
  <c r="E226" i="20"/>
  <c r="E225" i="20"/>
  <c r="E224" i="20"/>
  <c r="E222" i="20"/>
  <c r="E221" i="20"/>
  <c r="E220" i="20"/>
  <c r="E219" i="20"/>
  <c r="E218" i="20"/>
  <c r="E217" i="20"/>
  <c r="E216" i="20"/>
  <c r="E215" i="20"/>
  <c r="E213" i="20"/>
  <c r="E211" i="20"/>
  <c r="E210" i="20"/>
  <c r="E208" i="20"/>
  <c r="E207" i="20"/>
  <c r="E205" i="20"/>
  <c r="E203" i="20"/>
  <c r="E201" i="20"/>
  <c r="E199" i="20"/>
  <c r="E198" i="20"/>
  <c r="E197" i="20"/>
  <c r="E195" i="20"/>
  <c r="E193" i="20"/>
  <c r="E191" i="20"/>
  <c r="E189" i="20"/>
  <c r="E188" i="20"/>
  <c r="E187" i="20"/>
  <c r="E186" i="20"/>
  <c r="E185" i="20"/>
  <c r="E183" i="20"/>
  <c r="E182" i="20"/>
  <c r="E181" i="20"/>
  <c r="E179" i="20"/>
  <c r="E178" i="20"/>
  <c r="E176" i="20"/>
  <c r="E175" i="20"/>
  <c r="E173" i="20"/>
  <c r="E172" i="20"/>
  <c r="E171" i="20"/>
  <c r="E170" i="20"/>
  <c r="E168" i="20"/>
  <c r="E166" i="20"/>
  <c r="E165" i="20"/>
  <c r="E163" i="20"/>
  <c r="E162" i="20"/>
  <c r="E161" i="20"/>
  <c r="E159" i="20"/>
  <c r="E157" i="20"/>
  <c r="E155" i="20"/>
  <c r="E154" i="20"/>
  <c r="E153" i="20"/>
  <c r="E152" i="20"/>
  <c r="E151" i="20"/>
  <c r="E150" i="20"/>
  <c r="E149" i="20"/>
  <c r="E148" i="20"/>
  <c r="E147" i="20"/>
  <c r="E145" i="20"/>
  <c r="E144" i="20"/>
  <c r="E142" i="20"/>
  <c r="E141" i="20"/>
  <c r="E140" i="20"/>
  <c r="E139" i="20"/>
  <c r="E138" i="20"/>
  <c r="E137" i="20"/>
  <c r="E136" i="20"/>
  <c r="E135" i="20"/>
  <c r="E133" i="20"/>
  <c r="E132" i="20"/>
  <c r="E131" i="20"/>
  <c r="E130" i="20"/>
  <c r="E129" i="20"/>
  <c r="E134" i="20" s="1"/>
  <c r="E128" i="20"/>
  <c r="E127" i="20"/>
  <c r="E126" i="20"/>
  <c r="E125" i="20"/>
  <c r="E124" i="20"/>
  <c r="E123" i="20"/>
  <c r="E122" i="20"/>
  <c r="E121" i="20"/>
  <c r="E120" i="20"/>
  <c r="E119" i="20"/>
  <c r="E118" i="20"/>
  <c r="E117" i="20"/>
  <c r="E116" i="20"/>
  <c r="E115" i="20"/>
  <c r="E114" i="20"/>
  <c r="E113" i="20"/>
  <c r="E112" i="20"/>
  <c r="E110" i="20"/>
  <c r="E109" i="20"/>
  <c r="E107" i="20"/>
  <c r="E106" i="20"/>
  <c r="E105" i="20"/>
  <c r="E104" i="20"/>
  <c r="E102" i="20"/>
  <c r="E101" i="20"/>
  <c r="E99" i="20"/>
  <c r="E98" i="20"/>
  <c r="E96" i="20"/>
  <c r="E95" i="20"/>
  <c r="E93" i="20"/>
  <c r="E92" i="20"/>
  <c r="E91" i="20"/>
  <c r="E89" i="20"/>
  <c r="E88" i="20"/>
  <c r="E87" i="20"/>
  <c r="E85" i="20"/>
  <c r="E84" i="20"/>
  <c r="E82" i="20"/>
  <c r="E80" i="20"/>
  <c r="E79" i="20"/>
  <c r="E77" i="20"/>
  <c r="E76" i="20"/>
  <c r="E74" i="20"/>
  <c r="E72" i="20"/>
  <c r="E70" i="20"/>
  <c r="E69" i="20"/>
  <c r="E68" i="20"/>
  <c r="E66" i="20"/>
  <c r="E65" i="20"/>
  <c r="E64" i="20"/>
  <c r="E62" i="20"/>
  <c r="E61" i="20"/>
  <c r="E59" i="20"/>
  <c r="E58" i="20"/>
  <c r="E57" i="20"/>
  <c r="E55" i="20"/>
  <c r="E54" i="20"/>
  <c r="E53" i="20"/>
  <c r="E52" i="20"/>
  <c r="E50" i="20"/>
  <c r="E49" i="20"/>
  <c r="E47" i="20"/>
  <c r="E46" i="20"/>
  <c r="E44" i="20"/>
  <c r="E43" i="20"/>
  <c r="E41" i="20"/>
  <c r="E40" i="20"/>
  <c r="E39" i="20"/>
  <c r="E38" i="20"/>
  <c r="E36" i="20"/>
  <c r="E34" i="20"/>
  <c r="E32" i="20"/>
  <c r="E31" i="20"/>
  <c r="E30" i="20"/>
  <c r="E29" i="20"/>
  <c r="E28" i="20"/>
  <c r="E27" i="20"/>
  <c r="E25" i="20"/>
  <c r="E23" i="20"/>
  <c r="E22" i="20"/>
  <c r="E20" i="20"/>
  <c r="E18" i="20"/>
  <c r="E16" i="20"/>
  <c r="E15" i="20"/>
  <c r="E14" i="20"/>
  <c r="E13" i="20"/>
  <c r="E12" i="20"/>
  <c r="E10" i="20"/>
  <c r="E9" i="20"/>
  <c r="E8" i="20"/>
  <c r="E7" i="20"/>
  <c r="E6" i="20"/>
  <c r="E5" i="20"/>
  <c r="E4" i="20"/>
  <c r="E3" i="20"/>
  <c r="G2" i="6" l="1"/>
  <c r="F42" i="7"/>
  <c r="F30" i="7"/>
  <c r="C53" i="15" l="1"/>
  <c r="C54" i="15"/>
  <c r="C38" i="15"/>
  <c r="C51" i="15"/>
  <c r="C52" i="15"/>
  <c r="C14" i="15"/>
  <c r="C7" i="15"/>
  <c r="C68" i="15" l="1"/>
  <c r="C67" i="15" s="1"/>
  <c r="C81" i="15" l="1"/>
  <c r="F7" i="7"/>
  <c r="C80" i="15" l="1"/>
  <c r="C29" i="15"/>
  <c r="C79" i="15"/>
  <c r="C5" i="7" l="1"/>
  <c r="C29" i="7"/>
  <c r="C28" i="7" s="1"/>
  <c r="F28" i="7" s="1"/>
  <c r="F29" i="7" s="1"/>
  <c r="C46" i="7"/>
  <c r="C34" i="7"/>
  <c r="V17" i="6"/>
  <c r="V16" i="6"/>
  <c r="V15" i="6"/>
  <c r="V14" i="6"/>
  <c r="C6" i="6"/>
  <c r="C19" i="6"/>
  <c r="C20" i="6"/>
  <c r="C55" i="7" l="1"/>
  <c r="C48" i="7" s="1"/>
  <c r="C40" i="7" s="1"/>
  <c r="F40" i="7" s="1"/>
  <c r="F41" i="7" s="1"/>
  <c r="F43" i="7" s="1"/>
  <c r="C17" i="6"/>
  <c r="C5" i="6" s="1"/>
  <c r="C4" i="6" s="1"/>
  <c r="C36" i="15"/>
  <c r="C22" i="15" s="1"/>
  <c r="G5" i="6" l="1"/>
  <c r="G6" i="6" s="1"/>
  <c r="E47" i="7"/>
  <c r="E35" i="7"/>
  <c r="C6" i="7"/>
  <c r="C4" i="7" s="1"/>
  <c r="C50" i="15"/>
  <c r="C28" i="15" s="1"/>
  <c r="C76" i="15"/>
  <c r="C45" i="15"/>
  <c r="C43" i="15" s="1"/>
  <c r="C23" i="15" s="1"/>
  <c r="G7" i="6" l="1"/>
  <c r="F4" i="7"/>
  <c r="F6" i="7" s="1"/>
  <c r="I4" i="7"/>
  <c r="I5" i="7" s="1"/>
  <c r="I6" i="7" s="1"/>
  <c r="F31" i="7"/>
  <c r="F53" i="7" s="1"/>
  <c r="B6" i="17" s="1"/>
  <c r="C21" i="15"/>
  <c r="C13" i="15" s="1"/>
  <c r="C77" i="15"/>
  <c r="C75" i="15" s="1"/>
  <c r="H9" i="7" l="1"/>
  <c r="C12" i="15"/>
  <c r="C6" i="15" s="1"/>
  <c r="C5" i="15" s="1"/>
  <c r="H10" i="15" l="1"/>
  <c r="J10" i="15" s="1"/>
  <c r="J11" i="15" s="1"/>
  <c r="J12" i="15" s="1"/>
  <c r="J13" i="15" s="1"/>
  <c r="F8" i="7"/>
  <c r="F54" i="7"/>
  <c r="B5" i="17" s="1"/>
  <c r="B4" i="17" l="1"/>
  <c r="B7" i="17" s="1"/>
  <c r="B8" i="17" l="1"/>
  <c r="B9" i="17"/>
  <c r="B10" i="17"/>
  <c r="B1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tc={0C59EB4F-DD6B-4981-B36F-505CCD0510F0}</author>
  </authors>
  <commentList>
    <comment ref="B10" authorId="0" shapeId="0" xr:uid="{0C59EB4F-DD6B-4981-B36F-505CCD0510F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total weight of the cattle before shipping multiplied by a shrink amount. A typical number to use is 4%, so multiply the total by 0.96 to get the number for the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tc={397E9A93-D07E-42DD-A9F8-2594B19E8A92}</author>
    <author>tc={79364994-380C-49FF-B7DE-065D87A01B12}</author>
  </authors>
  <commentList>
    <comment ref="A8" authorId="0" shapeId="0" xr:uid="{397E9A93-D07E-42DD-A9F8-2594B19E8A92}">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total weight of the cattle before shipping multiplied by a shrink amount. A typical number to use is 4%, so multiply the total by 0.96 to get the number for the cell</t>
        </r>
      </text>
    </comment>
    <comment ref="D14" authorId="1" shapeId="0" xr:uid="{79364994-380C-49FF-B7DE-065D87A01B12}">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To view a full list of feedstuffs, check the ingredient list sheet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tc={83363896-A19E-4209-862D-32E039D093E7}</author>
  </authors>
  <commentList>
    <comment ref="F59" authorId="0" shapeId="0" xr:uid="{83363896-A19E-4209-862D-32E039D093E7}">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Average of early bloom, mid bloom, and late bloom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tc={E8D07162-0165-4592-BBA5-37975A080579}</author>
  </authors>
  <commentList>
    <comment ref="A59" authorId="0" shapeId="0" xr:uid="{E8D07162-0165-4592-BBA5-37975A080579}">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Average of early bloom, mid bloom, and late bloom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tc={73C507B0-17C2-466E-887D-0BA2B27B2DAD}</author>
    <author>tc={8BA23224-C1EA-4AA1-BB05-509A4609A203}</author>
    <author>tc={7DCC6E04-9C27-4E5D-B18F-26B75106580C}</author>
    <author>tc={27489400-C876-46D8-B75F-32004028C77A}</author>
    <author>tc={37993227-32FA-4CB0-91B1-E86778E2A592}</author>
  </authors>
  <commentList>
    <comment ref="B4" authorId="0" shapeId="0" xr:uid="{73C507B0-17C2-466E-887D-0BA2B27B2DAD}">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Pen-level</t>
        </r>
      </text>
    </comment>
    <comment ref="B20" authorId="1" shapeId="0" xr:uid="{8BA23224-C1EA-4AA1-BB05-509A4609A203}">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Thhe calculation says it’s supposed to be g/hd/day, but it’s not actually that, it’s % of BW as Nitrogen</t>
        </r>
      </text>
    </comment>
    <comment ref="B21" authorId="2" shapeId="0" xr:uid="{7DCC6E04-9C27-4E5D-B18F-26B75106580C}">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Thhe calculation says it’s supposed to be g/hd/day, but it’s not actually that, it’s % of BW as Nitrogen</t>
        </r>
      </text>
    </comment>
    <comment ref="B22" authorId="3" shapeId="0" xr:uid="{27489400-C876-46D8-B75F-32004028C77A}">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Need to treat DMI as KG/hd/day</t>
        </r>
      </text>
    </comment>
    <comment ref="A50" authorId="4" shapeId="0" xr:uid="{37993227-32FA-4CB0-91B1-E86778E2A592}">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Removed this equation, double counting</t>
        </r>
      </text>
    </comment>
  </commentList>
</comments>
</file>

<file path=xl/sharedStrings.xml><?xml version="1.0" encoding="utf-8"?>
<sst xmlns="http://schemas.openxmlformats.org/spreadsheetml/2006/main" count="2009" uniqueCount="933">
  <si>
    <t>Input</t>
  </si>
  <si>
    <t>Description</t>
  </si>
  <si>
    <t>Railers, n</t>
  </si>
  <si>
    <t>Railers, lb</t>
  </si>
  <si>
    <t>fat content</t>
  </si>
  <si>
    <t>urea/molasses blend or corn gluten feed?</t>
  </si>
  <si>
    <t xml:space="preserve">steam flaked or high moisture grain? </t>
  </si>
  <si>
    <t>assume dry lot w/ lagoon, same climate region</t>
  </si>
  <si>
    <t>ADG</t>
  </si>
  <si>
    <t>yes/no</t>
  </si>
  <si>
    <t>% of days rumensin/ionophore used</t>
  </si>
  <si>
    <t>CH4 = DayEmit x Popi</t>
  </si>
  <si>
    <r>
      <t>CH</t>
    </r>
    <r>
      <rPr>
        <vertAlign val="subscript"/>
        <sz val="11"/>
        <color theme="1"/>
        <rFont val="Aptos Narrow"/>
        <family val="2"/>
        <scheme val="minor"/>
      </rPr>
      <t>4</t>
    </r>
  </si>
  <si>
    <t>&lt;- output</t>
  </si>
  <si>
    <t>DayEmit</t>
  </si>
  <si>
    <r>
      <t>emission factor (g CH</t>
    </r>
    <r>
      <rPr>
        <vertAlign val="subscript"/>
        <sz val="11"/>
        <color theme="1"/>
        <rFont val="Aptos Narrow"/>
        <family val="2"/>
        <scheme val="minor"/>
      </rPr>
      <t>4</t>
    </r>
    <r>
      <rPr>
        <sz val="11"/>
        <color theme="1"/>
        <rFont val="Aptos Narrow"/>
        <family val="2"/>
        <scheme val="minor"/>
      </rPr>
      <t>/head/day)</t>
    </r>
  </si>
  <si>
    <t>&lt;- input</t>
  </si>
  <si>
    <r>
      <t>Pop</t>
    </r>
    <r>
      <rPr>
        <vertAlign val="subscript"/>
        <sz val="11"/>
        <color theme="1"/>
        <rFont val="Aptos Narrow"/>
        <family val="2"/>
        <scheme val="minor"/>
      </rPr>
      <t>i</t>
    </r>
  </si>
  <si>
    <t>number of animals with same diet (head)</t>
  </si>
  <si>
    <r>
      <t>DayEmit = (GEI x (Y</t>
    </r>
    <r>
      <rPr>
        <vertAlign val="subscript"/>
        <sz val="11"/>
        <color theme="1"/>
        <rFont val="Aptos Narrow"/>
        <family val="2"/>
        <scheme val="minor"/>
      </rPr>
      <t>m/1</t>
    </r>
    <r>
      <rPr>
        <sz val="11"/>
        <color theme="1"/>
        <rFont val="Aptos Narrow"/>
        <family val="2"/>
        <scheme val="minor"/>
      </rPr>
      <t>00))/.056)</t>
    </r>
  </si>
  <si>
    <t>GEI</t>
  </si>
  <si>
    <t>gross energy intake (MJ/head/day)</t>
  </si>
  <si>
    <r>
      <t>Y</t>
    </r>
    <r>
      <rPr>
        <vertAlign val="subscript"/>
        <sz val="11"/>
        <color theme="1"/>
        <rFont val="Aptos Narrow"/>
        <family val="2"/>
        <scheme val="minor"/>
      </rPr>
      <t>m</t>
    </r>
  </si>
  <si>
    <r>
      <t>CH4 conversion factor: fraction of gross energy in feed converted to CH</t>
    </r>
    <r>
      <rPr>
        <vertAlign val="subscript"/>
        <sz val="11"/>
        <color theme="1"/>
        <rFont val="Aptos Narrow"/>
        <family val="2"/>
        <scheme val="minor"/>
      </rPr>
      <t>4</t>
    </r>
    <r>
      <rPr>
        <sz val="11"/>
        <color theme="1"/>
        <rFont val="Aptos Narrow"/>
        <family val="2"/>
        <scheme val="minor"/>
      </rPr>
      <t xml:space="preserve"> (%)</t>
    </r>
  </si>
  <si>
    <r>
      <t>factor for the energy content of methane (MJ/kg CH</t>
    </r>
    <r>
      <rPr>
        <vertAlign val="subscript"/>
        <sz val="11"/>
        <color theme="1"/>
        <rFont val="Aptos Narrow"/>
        <family val="2"/>
        <scheme val="minor"/>
      </rPr>
      <t>4</t>
    </r>
    <r>
      <rPr>
        <sz val="11"/>
        <color theme="1"/>
        <rFont val="Aptos Narrow"/>
        <family val="2"/>
        <scheme val="minor"/>
      </rPr>
      <t>)</t>
    </r>
  </si>
  <si>
    <t>&lt;- constant</t>
  </si>
  <si>
    <t>yes</t>
  </si>
  <si>
    <t>no</t>
  </si>
  <si>
    <r>
      <t>Y</t>
    </r>
    <r>
      <rPr>
        <b/>
        <vertAlign val="subscript"/>
        <sz val="11"/>
        <color theme="1"/>
        <rFont val="Aptos Narrow"/>
        <family val="2"/>
        <scheme val="minor"/>
      </rPr>
      <t>m</t>
    </r>
    <r>
      <rPr>
        <b/>
        <sz val="11"/>
        <color theme="1"/>
        <rFont val="Aptos Narrow"/>
        <family val="2"/>
        <scheme val="minor"/>
      </rPr>
      <t xml:space="preserve"> adjustment</t>
    </r>
  </si>
  <si>
    <t>item</t>
  </si>
  <si>
    <t>input</t>
  </si>
  <si>
    <t>output</t>
  </si>
  <si>
    <t>0%</t>
  </si>
  <si>
    <t>ionophore</t>
  </si>
  <si>
    <t>1%</t>
  </si>
  <si>
    <t>2%</t>
  </si>
  <si>
    <t>grain</t>
  </si>
  <si>
    <t>SFC or HMC(HMS)</t>
  </si>
  <si>
    <t>3+%</t>
  </si>
  <si>
    <t>starch:NDF</t>
  </si>
  <si>
    <t>baseline</t>
  </si>
  <si>
    <t>unprocessed C/S</t>
  </si>
  <si>
    <t>DRB or SFB</t>
  </si>
  <si>
    <t>&lt;4</t>
  </si>
  <si>
    <t>&gt;4</t>
  </si>
  <si>
    <t>GEI = ([(NEm + Nea + NEi +Nework +Nep)/REM] + (NEg/REG)) /(DE/100)</t>
  </si>
  <si>
    <t>NEM</t>
  </si>
  <si>
    <t>net energy required by the animal for maintenance (MJ/day), calculated using equation 10.3 in IPCC (2019) based on body weight (weight). See appendix F for IPCC (2029) equations</t>
  </si>
  <si>
    <t>NEA</t>
  </si>
  <si>
    <t>net energy for animal activity (MJ/day), calculated usign equation 10.4 in IPCC (2019) based on Nem and feeding situation</t>
  </si>
  <si>
    <t>NEI</t>
  </si>
  <si>
    <t>net energy for lactation (MJ/day), calcualated using equation 10.8 in IPCC(2019) based on milk production and milk fat</t>
  </si>
  <si>
    <t>Nework</t>
  </si>
  <si>
    <t>net energy for work (Mj/day), calculated using equation 10.11 in IPCC (2019) based on information on daily hours of work (hours)</t>
  </si>
  <si>
    <t>Nep</t>
  </si>
  <si>
    <t>net energy required for pregnancy</t>
  </si>
  <si>
    <t>REM</t>
  </si>
  <si>
    <t>ratio of net energy available in diet for maintenance to digestible energy consumed, calculated using equation 10.14 in IPCC (2019) based on DE</t>
  </si>
  <si>
    <t>NEG</t>
  </si>
  <si>
    <t>net energy needed for growth (mj/day), calculated using equation 10.6 in IPCC (2019) based on body weight (bw), mature weight (mw), and daily weight gain (wg)</t>
  </si>
  <si>
    <t>REG</t>
  </si>
  <si>
    <t>ratio of net energy needed for growth in a diet to digestible energy consumed, calculated using equation 10.15 in IPCC (2019) based on DE</t>
  </si>
  <si>
    <t>DE</t>
  </si>
  <si>
    <t>digestible energy expressed as a percent of gross energy (%)</t>
  </si>
  <si>
    <t>Nem = Cfi x (weight, kg)^75</t>
  </si>
  <si>
    <t>net energy required by the animal for maintenance</t>
  </si>
  <si>
    <t>CFI</t>
  </si>
  <si>
    <t>a coefficient which varies for each animal category as shown in table 10.4 (mj/day/kg)</t>
  </si>
  <si>
    <t>Weight</t>
  </si>
  <si>
    <t>live weight of animal (kg)</t>
  </si>
  <si>
    <t>NEa = Ca x Nem</t>
  </si>
  <si>
    <t>Nea</t>
  </si>
  <si>
    <t>net energy for animal activity (mj/day)</t>
  </si>
  <si>
    <t>Ca</t>
  </si>
  <si>
    <t>coefficient corresponding to animals feeding situation (table 10.5) (mj/day/kg)</t>
  </si>
  <si>
    <t>net energy required by the animal for maintenance (Mj/day)</t>
  </si>
  <si>
    <t>NEg = 22.02 x (BW/C x MW)^.75 x WG^1.097</t>
  </si>
  <si>
    <t>NEg</t>
  </si>
  <si>
    <t>net energy needed for growth (mj/day)</t>
  </si>
  <si>
    <t>BW</t>
  </si>
  <si>
    <t>the average live body weight of the animals in the population (kg)</t>
  </si>
  <si>
    <t>C</t>
  </si>
  <si>
    <t>a coefficient with a value of 0.8 for females, 1.0 for castrates and 1.2 for bulls (NRC 1996)</t>
  </si>
  <si>
    <t>MW</t>
  </si>
  <si>
    <t>the mature body weight of an adult animal individually, mature females, mature males and steer in moderate body weight condition (kg)</t>
  </si>
  <si>
    <t>WG</t>
  </si>
  <si>
    <t>the average daily weight gain of the animals in the population (kg/day)</t>
  </si>
  <si>
    <t>Sex</t>
  </si>
  <si>
    <t>REM= [1.123-(0.004092*DE)+(0.00001126*(DE^2)-(25.4/DE)]</t>
  </si>
  <si>
    <t>ratio of net energy available in diet for maintenance to digestible energy</t>
  </si>
  <si>
    <t>digestibility of feed expressed as a fraction of gross energy (digestible energy/gross energy)</t>
  </si>
  <si>
    <t>REG= [1.164-(0.00516*DE)+(0.00001308*(DE^2)-(37.4/DE)]</t>
  </si>
  <si>
    <t>ratio of net energy available for growth in a diet to digestible energy consumed</t>
  </si>
  <si>
    <t>GE=( (Nem + Nea + Nework)/REM)+(NEg/REG))/DE</t>
  </si>
  <si>
    <t>GE</t>
  </si>
  <si>
    <t>gross energy (Mj/day)</t>
  </si>
  <si>
    <t>Nem</t>
  </si>
  <si>
    <t>net energy required by the animal for maintenance (equation 10.3)(Mj/day)</t>
  </si>
  <si>
    <t>net energy for animal activity (equqation 10.4 and 10.5) (MJ/Day)</t>
  </si>
  <si>
    <t>net energy for work (equation 10.11)(Mj/day)</t>
  </si>
  <si>
    <t>ratio of net energy available in a diet for maintenance to digestible energy (equation 10.14 )</t>
  </si>
  <si>
    <t>ratio of net energy available for growth in a diet to digestible energy consumed (equation 10.15)</t>
  </si>
  <si>
    <t>digestibility of feed expressed as a fraction of gross energy) digestible energy/gross energy</t>
  </si>
  <si>
    <t>CH4 = VS x Bo x 0.67 x (MCF/100)</t>
  </si>
  <si>
    <t>CH4</t>
  </si>
  <si>
    <t>VS</t>
  </si>
  <si>
    <t>volatile solids (kg/day), use equation 4-16</t>
  </si>
  <si>
    <t>Bo</t>
  </si>
  <si>
    <t>maximum CH4 producing capacity for manure (m^3CH4/kg VS)</t>
  </si>
  <si>
    <t>MCF</t>
  </si>
  <si>
    <t>methane conversion factor for the housing or manure management system</t>
  </si>
  <si>
    <t>conversion factor of m^3CH4 to kg CH4</t>
  </si>
  <si>
    <t>inputs</t>
  </si>
  <si>
    <t>Average annual temperature, °F</t>
  </si>
  <si>
    <t>%</t>
  </si>
  <si>
    <t>input-&gt;</t>
  </si>
  <si>
    <t>VS = Vsrate X (TAM/1000)X popX(%MMS/100)</t>
  </si>
  <si>
    <t>volatile solids excretion (kg/day)</t>
  </si>
  <si>
    <t>Vsrate</t>
  </si>
  <si>
    <t>VS excretion rate (kg VS/1000 kg animal mass/day)</t>
  </si>
  <si>
    <t>TAM</t>
  </si>
  <si>
    <t>typical animal mass (kg/hd)</t>
  </si>
  <si>
    <t>pop</t>
  </si>
  <si>
    <t>number of animals (head)</t>
  </si>
  <si>
    <t>%MMS</t>
  </si>
  <si>
    <t>percent or proportion of manure managed in the housing and or manure storage, if more than one facility or system. Otherwise assume 100%</t>
  </si>
  <si>
    <t>Housing Type, Uncovered anaerobic lagoon</t>
  </si>
  <si>
    <t>Average annual temperature</t>
  </si>
  <si>
    <t>°F</t>
  </si>
  <si>
    <t>Cool Temperate Moist (4.6°C)</t>
  </si>
  <si>
    <t>Cool Temperate Dry (5.8°C)</t>
  </si>
  <si>
    <t>Warm Temperate Moist (13.9°C)</t>
  </si>
  <si>
    <t>Warm Temperate Dry (14.0°C)</t>
  </si>
  <si>
    <t>Tropical Montane (21.5°C)</t>
  </si>
  <si>
    <t>Tropical Wet (25.9°C)</t>
  </si>
  <si>
    <t>Tropical Moist (25.2°C)</t>
  </si>
  <si>
    <t>Tropical Dry (25.5°C)</t>
  </si>
  <si>
    <t xml:space="preserve">Reference: </t>
  </si>
  <si>
    <t>Amarillo, TX</t>
  </si>
  <si>
    <t>Dodge City, KS</t>
  </si>
  <si>
    <t>Scottsbluff, NE</t>
  </si>
  <si>
    <t>Lamar, CO</t>
  </si>
  <si>
    <t>N20direct = pop X Nex X EFN20 x (44/28) X(%MMS/100)</t>
  </si>
  <si>
    <t>N20direct</t>
  </si>
  <si>
    <t>direct nitrous oxide emissions per day (kg N20/day)</t>
  </si>
  <si>
    <t>Nex</t>
  </si>
  <si>
    <t>total nitrogen excretion (kg N/head/day)</t>
  </si>
  <si>
    <t>&lt;- input, calculation</t>
  </si>
  <si>
    <t>EFn20</t>
  </si>
  <si>
    <t>direct N2) emission factor (kg N20-N/KGN)</t>
  </si>
  <si>
    <t>44/28</t>
  </si>
  <si>
    <t>Nex = ((0.51*Nintake-14.12)+(0.20*Nintake+15.82))/1000</t>
  </si>
  <si>
    <t>Nintake</t>
  </si>
  <si>
    <t>nitrogen intake per finished animal (g/hd/day)</t>
  </si>
  <si>
    <t>Nintake = DMI x ((CP/100)/6.25)</t>
  </si>
  <si>
    <t>DMI</t>
  </si>
  <si>
    <t>dry matter intake (% body weight)</t>
  </si>
  <si>
    <t>CP</t>
  </si>
  <si>
    <t>dietary crude protein (%DM)</t>
  </si>
  <si>
    <t>Equation- Nintake</t>
  </si>
  <si>
    <t>N20 indirecth = Pop x Nex x ((%Nh3/100)+(%Nleach/100)) x 0.01 x (44/28) x (%MMS/100)</t>
  </si>
  <si>
    <t>N20indirect h</t>
  </si>
  <si>
    <t>indirect nitrous oxide emissions (kg N20/day)</t>
  </si>
  <si>
    <t>Pop</t>
  </si>
  <si>
    <t>total nitrogen excretion (kg N/hd/d)</t>
  </si>
  <si>
    <t>% NH3</t>
  </si>
  <si>
    <t>percentage of Nex lost as Nh3-n in animal housing, table 4B-5</t>
  </si>
  <si>
    <t>&lt;- constant, default value</t>
  </si>
  <si>
    <t>%Nleach</t>
  </si>
  <si>
    <t>percentage of Nex lost as N leaching in animal housing, if no data available, assume 0%. table 4B-5</t>
  </si>
  <si>
    <t>indirect N20 emission factor (kg N20n/kgN)</t>
  </si>
  <si>
    <t>(44/28)</t>
  </si>
  <si>
    <t>conversion of N20-n emissions to N20 emissions</t>
  </si>
  <si>
    <t>% MMS</t>
  </si>
  <si>
    <t xml:space="preserve">percent or proportion of manure managed in the housing and/or manure storage, if more than one facility or system. Otherwise assume 100% </t>
  </si>
  <si>
    <t>N20indirect m</t>
  </si>
  <si>
    <t>Tnstorage</t>
  </si>
  <si>
    <t>total nitrogen entering manure storage (kg N/day)(from equation 4-19)</t>
  </si>
  <si>
    <t>TNstorage</t>
  </si>
  <si>
    <t>total nitrogen entering manure storage (kg N/day)</t>
  </si>
  <si>
    <t>direct N20 emission factor (kgN20N/kg N)</t>
  </si>
  <si>
    <t>RN2(N20)</t>
  </si>
  <si>
    <t>ratio of N2:N20 emissions, the default value is 3 (kg N2-N/kg N20-N0</t>
  </si>
  <si>
    <t>GWP for methane</t>
  </si>
  <si>
    <t>IPCC</t>
  </si>
  <si>
    <t>kg CO₂-eq/day</t>
  </si>
  <si>
    <t>Headdays</t>
  </si>
  <si>
    <t>GWP for N20</t>
  </si>
  <si>
    <t>the mature body weight of an adult animal individually, mature females, mature males and steer in moderate body weight condition lb</t>
  </si>
  <si>
    <t>equation 4-7: modified IPCC Tier 2 Equation for calculating Enteric CH4 emissions for beef cattle</t>
  </si>
  <si>
    <t>for equation 4-7, to calculate day e-mit</t>
  </si>
  <si>
    <t>g CH4/ day</t>
  </si>
  <si>
    <t>equation 4-8, to calculate day emit</t>
  </si>
  <si>
    <t>Fresh, late vegetative</t>
  </si>
  <si>
    <t>Fresh, midbloom</t>
  </si>
  <si>
    <t>Hay, sun-cured, early bloom</t>
  </si>
  <si>
    <t>Hay, sun-cured, midbloom</t>
  </si>
  <si>
    <t>Hulls</t>
  </si>
  <si>
    <t>Fresh</t>
  </si>
  <si>
    <t>Grain</t>
  </si>
  <si>
    <t>Grain, Pacific coast</t>
  </si>
  <si>
    <t>Silage</t>
  </si>
  <si>
    <t>Straw</t>
  </si>
  <si>
    <t>Fresh, early vegetative</t>
  </si>
  <si>
    <t>Hay, sun-cured, late vegetative</t>
  </si>
  <si>
    <t>Hay, sun-cured, full bloom</t>
  </si>
  <si>
    <t>Canola meal</t>
  </si>
  <si>
    <t>Citrus pulp, wet</t>
  </si>
  <si>
    <t>Distillers grains, dehydrated</t>
  </si>
  <si>
    <t>Distillers grains with solubles, wet (corn-based)</t>
  </si>
  <si>
    <t>Grain, flaked</t>
  </si>
  <si>
    <t>Corn snaplage</t>
  </si>
  <si>
    <t>Corn stalkage</t>
  </si>
  <si>
    <t>Corn gluten feed (sweet bran)</t>
  </si>
  <si>
    <t>Corn gluten feed, wet</t>
  </si>
  <si>
    <t>Corn gluten feed, dry</t>
  </si>
  <si>
    <t>Corn germ meal</t>
  </si>
  <si>
    <t>Corn stalks</t>
  </si>
  <si>
    <t>Corn grain, dry-rolled</t>
  </si>
  <si>
    <t>Corn steep liquor</t>
  </si>
  <si>
    <t>.</t>
  </si>
  <si>
    <t>Cotton burrs</t>
  </si>
  <si>
    <t>Cotton gin trash</t>
  </si>
  <si>
    <t>Fish meal</t>
  </si>
  <si>
    <t>Flax seed, whole</t>
  </si>
  <si>
    <t>Mark, wet (pomace)</t>
  </si>
  <si>
    <t>Linseed meal</t>
  </si>
  <si>
    <t>Beet, sugar, molasses, more than 48% invert sugar, more than 79.5% degrees brix</t>
  </si>
  <si>
    <t>Citrus, syrup (citrus molasses)</t>
  </si>
  <si>
    <t>Sugarcane, molasses, dehydrated</t>
  </si>
  <si>
    <t>Sugarcane, molasses, more than 46% invert sugars, more than 79.5 degrees brix (black strap)</t>
  </si>
  <si>
    <t>Fresh, late bloom</t>
  </si>
  <si>
    <t>Silage, dough stage</t>
  </si>
  <si>
    <t>Hay, sun-cured, 29 to 42 days growth</t>
  </si>
  <si>
    <t>Vines without seeds, silage</t>
  </si>
  <si>
    <t>Hulls (pods)</t>
  </si>
  <si>
    <t>Kernels, meal solvent extracted (peanut meal)</t>
  </si>
  <si>
    <t>Tubers, silage</t>
  </si>
  <si>
    <t>Seeds, meal solvent extracted</t>
  </si>
  <si>
    <t>Browse, fresh, stem-cured</t>
  </si>
  <si>
    <t>Browse, fresh, early vegetative</t>
  </si>
  <si>
    <t>Fresh, post ripe</t>
  </si>
  <si>
    <t>Solka Floc</t>
  </si>
  <si>
    <t>Aerial part with heads, sun-cured (fodder)</t>
  </si>
  <si>
    <t>Distillers grains with solubles, wet (sorghum-based)</t>
  </si>
  <si>
    <t>Seeds, meal solvent extracted, 44% protein</t>
  </si>
  <si>
    <t>Seeds without hulls, meal mechanical extracted</t>
  </si>
  <si>
    <t>Grain, hard winter</t>
  </si>
  <si>
    <t>Grain, steam flaked</t>
  </si>
  <si>
    <t>Feedstuff</t>
  </si>
  <si>
    <t>DM%</t>
  </si>
  <si>
    <t>CP%</t>
  </si>
  <si>
    <t>DE (mcal/kg)</t>
  </si>
  <si>
    <t>GE (mcal/kg)</t>
  </si>
  <si>
    <t>EE (%)</t>
  </si>
  <si>
    <t>Ash (%)</t>
  </si>
  <si>
    <t>Total (CH2O)n (%)</t>
  </si>
  <si>
    <t>Total Starch (%)</t>
  </si>
  <si>
    <t>NDF (%)</t>
  </si>
  <si>
    <t>ADF (%)</t>
  </si>
  <si>
    <t>Lignin (%)</t>
  </si>
  <si>
    <t>Alfalfa (Medicago sativa)</t>
  </si>
  <si>
    <t>Calculated: Ewan, 1989a DE (% of GE)</t>
  </si>
  <si>
    <t xml:space="preserve"> TDN (%)</t>
  </si>
  <si>
    <t xml:space="preserve">Calculated: NASEM, 2016a GE (mcal/kg) </t>
  </si>
  <si>
    <t>Total Sugars (%)</t>
  </si>
  <si>
    <t>Almond (Prunus amygdalus)</t>
  </si>
  <si>
    <t>Apple (Malus spp.)</t>
  </si>
  <si>
    <t>Bahiagrass (Paspalum notatum)</t>
  </si>
  <si>
    <t>Bakery</t>
  </si>
  <si>
    <t>Bean, navy (Phaseolus vulgaris)</t>
  </si>
  <si>
    <t>Beet, mangel (Beta vulgaris macrorrhiza)</t>
  </si>
  <si>
    <t>Bermudagrass (Cynodon dactylon)</t>
  </si>
  <si>
    <t>Bluestem (Andropagon spp.)</t>
  </si>
  <si>
    <t>Brewers</t>
  </si>
  <si>
    <t>Brome (Bromus spp.)</t>
  </si>
  <si>
    <t>Buffalograss (Buchloe dactyloides)</t>
  </si>
  <si>
    <t>Canola (Brassica)</t>
  </si>
  <si>
    <t>Carrot (Daucus spp.)</t>
  </si>
  <si>
    <t>Cereals</t>
  </si>
  <si>
    <t>Citrus (Citrus spp.)</t>
  </si>
  <si>
    <t>Coconut (Cocos nucifera)</t>
  </si>
  <si>
    <t>Corn, sweet (Zea mays saccharate)</t>
  </si>
  <si>
    <t>Cotton (Gossypium spp.)</t>
  </si>
  <si>
    <t>Fats and oils</t>
  </si>
  <si>
    <t>Fescue (Festuca spp.)</t>
  </si>
  <si>
    <t>Fish</t>
  </si>
  <si>
    <t>Galeta (Hilaria jamesii)</t>
  </si>
  <si>
    <t>Grama (Bouteloua spp.)</t>
  </si>
  <si>
    <t>Grape (Vitis spp.)</t>
  </si>
  <si>
    <t>Lespedeza, common, and lespedeza, Korean (Lespedeza striata)</t>
  </si>
  <si>
    <t>Lignin sulfonate, calcium</t>
  </si>
  <si>
    <t>Linseed (Linum)</t>
  </si>
  <si>
    <t>Meadow plants, intermountain</t>
  </si>
  <si>
    <t>Molasses and syrup (Beta vulgaris altissima)</t>
  </si>
  <si>
    <t>Molasses and syrup (Citrus spp.)</t>
  </si>
  <si>
    <t>Molasses and syrup (Saccharum officinarum)</t>
  </si>
  <si>
    <t>Napiergrass (Pennisetum purpureum)</t>
  </si>
  <si>
    <t>Needleandthread (Stipa comata)</t>
  </si>
  <si>
    <t>Oats (Avena sativa)</t>
  </si>
  <si>
    <t>Orchardgrass (Dactylis glomerata)</t>
  </si>
  <si>
    <t>Pangolagrass (Digitaria decumbens)</t>
  </si>
  <si>
    <t>Pea (Pisum spp.)</t>
  </si>
  <si>
    <t>Peanut (Arachis hypogaea)</t>
  </si>
  <si>
    <t>Pearlmillet (Pennisetum glaucum)</t>
  </si>
  <si>
    <t>Pineapple (Ananas comosus)</t>
  </si>
  <si>
    <t>Potato (Solanum tuberosum)</t>
  </si>
  <si>
    <t>Poultry</t>
  </si>
  <si>
    <t>Prairie plants, Midwest</t>
  </si>
  <si>
    <t>Rape (Brassica napus) (Canola)</t>
  </si>
  <si>
    <t>Redtop (Agrostis alba)</t>
  </si>
  <si>
    <t>Rice (Oryza sativa)</t>
  </si>
  <si>
    <t>Rye (Secale cereale)</t>
  </si>
  <si>
    <t>Safflower (Carthamus tinctorious)</t>
  </si>
  <si>
    <t>Saltgrass (Distichlis spp.)</t>
  </si>
  <si>
    <t>Seaweed, kelp (Laminariales fucales)</t>
  </si>
  <si>
    <t>Sedge (Carex spp.)</t>
  </si>
  <si>
    <t>Sesame (Sesamum indicum)</t>
  </si>
  <si>
    <t>Sorghum (Sorghum bicolor)</t>
  </si>
  <si>
    <t>Soybean (Glycine max)</t>
  </si>
  <si>
    <t>Spelt (Triticum spelta)</t>
  </si>
  <si>
    <t>Squirreltail (Stanion spp.)</t>
  </si>
  <si>
    <t>Sugarcane (saccharum officinarum)</t>
  </si>
  <si>
    <t>Timothy (Phleum pratense)</t>
  </si>
  <si>
    <t>Tomato (Lycopersicon esculentum)</t>
  </si>
  <si>
    <t>Triticale (Triticale hexaploide)</t>
  </si>
  <si>
    <t>Turnip (Brassica rapa rapa)</t>
  </si>
  <si>
    <t>Urea</t>
  </si>
  <si>
    <t>Vetch (Vicia spp.)</t>
  </si>
  <si>
    <t>Wheat (Triticum aestivum)</t>
  </si>
  <si>
    <t>Whey (Bos taurus)</t>
  </si>
  <si>
    <t>Equation 4-15: IPCC Tier  2 approach for estimating CH4 emissions from manure</t>
  </si>
  <si>
    <t>Equation 4-17: UPCC Tier 2 approach for estimating direct N20 emissions from housing</t>
  </si>
  <si>
    <t>Equation 4-23: estimating Nex of feedlot cattle</t>
  </si>
  <si>
    <t>Equation 4-18 (housing): IPCC Tier 2 approach for estimating indirect N20 emissions</t>
  </si>
  <si>
    <t>Equation 4-18 (manure management): IPCC Tier 2 approach for estimating indirect N20 emissions</t>
  </si>
  <si>
    <t>Equation 4-19: Total Nitrogen Entering Manure Storage &amp; Treatment</t>
  </si>
  <si>
    <t>Drop down-Sex</t>
  </si>
  <si>
    <t>Drop down- implant</t>
  </si>
  <si>
    <t>Drop down-rumensin/ionophore</t>
  </si>
  <si>
    <t>INTRODUCTION</t>
  </si>
  <si>
    <t>INSTRUCTIONS FOR THE USER:</t>
  </si>
  <si>
    <t>Feedlot Emissions Calculator</t>
  </si>
  <si>
    <t>A spreadsheet tool to for estimating emissions from feedlot closeouts</t>
  </si>
  <si>
    <t>Inputs/Outputs</t>
  </si>
  <si>
    <t>Deads, n</t>
  </si>
  <si>
    <t>Head in, n</t>
  </si>
  <si>
    <t>Gross arrival weight, lbs</t>
  </si>
  <si>
    <t>Gross shrunk ship weight, lbs</t>
  </si>
  <si>
    <t>Amount</t>
  </si>
  <si>
    <t>Cattle</t>
  </si>
  <si>
    <t>Gross HCW, lbs</t>
  </si>
  <si>
    <t>Performance</t>
  </si>
  <si>
    <t>Head shipped, n</t>
  </si>
  <si>
    <t>Health</t>
  </si>
  <si>
    <t>Carcass</t>
  </si>
  <si>
    <t>Feed</t>
  </si>
  <si>
    <t>Do you know dead dates?</t>
  </si>
  <si>
    <t>Duration</t>
  </si>
  <si>
    <t>DM</t>
  </si>
  <si>
    <t>%CP from national averages</t>
  </si>
  <si>
    <t>Lot</t>
  </si>
  <si>
    <t>lbs gained</t>
  </si>
  <si>
    <t>Manure methane, kg of CO2e per head in</t>
  </si>
  <si>
    <t>GWP methane</t>
  </si>
  <si>
    <t>kg CH4/day</t>
  </si>
  <si>
    <t>kg co2e/day</t>
  </si>
  <si>
    <t xml:space="preserve">head in </t>
  </si>
  <si>
    <t>CO2eq</t>
  </si>
  <si>
    <t>N20</t>
  </si>
  <si>
    <t>CO2</t>
  </si>
  <si>
    <t>total co2e</t>
  </si>
  <si>
    <t xml:space="preserve">kg c02e/head in </t>
  </si>
  <si>
    <t>DE (MJ/kg)</t>
  </si>
  <si>
    <t>DE content(USDA), MJ/kg DM</t>
  </si>
  <si>
    <t xml:space="preserve"> Calculated: Ewan, 1989a DE (% of GE)</t>
  </si>
  <si>
    <t>Ration 1</t>
  </si>
  <si>
    <t>Rations</t>
  </si>
  <si>
    <t>ration 1</t>
  </si>
  <si>
    <t>duration</t>
  </si>
  <si>
    <t>total g CH4</t>
  </si>
  <si>
    <t>Total Sum g CH4</t>
  </si>
  <si>
    <t>Total Sum kg CH4</t>
  </si>
  <si>
    <t>Total Sum kg c02e</t>
  </si>
  <si>
    <t>kg N20/ day</t>
  </si>
  <si>
    <t xml:space="preserve">kg co2e/day </t>
  </si>
  <si>
    <t>DOF</t>
  </si>
  <si>
    <t>total kg co2e</t>
  </si>
  <si>
    <t xml:space="preserve">indirect housing N2O, kg of CO2e </t>
  </si>
  <si>
    <t xml:space="preserve">indirect manure management N2O, kg of CO2e </t>
  </si>
  <si>
    <t>Total kg CO2e</t>
  </si>
  <si>
    <t>indirect</t>
  </si>
  <si>
    <t>direct</t>
  </si>
  <si>
    <t>Equation 4-16: daily vs excretion rates</t>
  </si>
  <si>
    <t>Drop down-steam flake/high moisture</t>
  </si>
  <si>
    <t>Drop down- supplement</t>
  </si>
  <si>
    <t>urea/molasses blend</t>
  </si>
  <si>
    <t>corn gluten feed</t>
  </si>
  <si>
    <t>Supplement</t>
  </si>
  <si>
    <t>Rumensin/ionophore</t>
  </si>
  <si>
    <t>Beta-agonist</t>
  </si>
  <si>
    <t>Hormone implant</t>
  </si>
  <si>
    <t>between 0 and 100</t>
  </si>
  <si>
    <t>Feedyard Operations</t>
  </si>
  <si>
    <t>Manure system</t>
  </si>
  <si>
    <t>Electric</t>
  </si>
  <si>
    <t>Natural gas</t>
  </si>
  <si>
    <t>Fuel use</t>
  </si>
  <si>
    <t>Feeding location</t>
  </si>
  <si>
    <t>Calculated Input</t>
  </si>
  <si>
    <t>Steer</t>
  </si>
  <si>
    <t>Heifer</t>
  </si>
  <si>
    <t>Steer or Heifer</t>
  </si>
  <si>
    <t>the average live body weight of the animals in the population, (kg) taken from the average beginning and ending</t>
  </si>
  <si>
    <r>
      <t>methane emissions (g CH</t>
    </r>
    <r>
      <rPr>
        <vertAlign val="subscript"/>
        <sz val="11"/>
        <color theme="1"/>
        <rFont val="Aptos Narrow"/>
        <family val="2"/>
        <scheme val="minor"/>
      </rPr>
      <t>4</t>
    </r>
    <r>
      <rPr>
        <sz val="11"/>
        <color theme="1"/>
        <rFont val="Aptos Narrow"/>
        <family val="2"/>
        <scheme val="minor"/>
      </rPr>
      <t>/day)</t>
    </r>
  </si>
  <si>
    <t>the average daily weight gain of the animals in the population kg/day</t>
  </si>
  <si>
    <t>MW/ FBW</t>
  </si>
  <si>
    <t>Drop Downs</t>
  </si>
  <si>
    <t>Emission</t>
  </si>
  <si>
    <r>
      <t>kg CO</t>
    </r>
    <r>
      <rPr>
        <b/>
        <vertAlign val="subscript"/>
        <sz val="18"/>
        <color theme="1"/>
        <rFont val="Aptos Narrow"/>
        <family val="2"/>
        <scheme val="minor"/>
      </rPr>
      <t>2</t>
    </r>
    <r>
      <rPr>
        <b/>
        <sz val="18"/>
        <color theme="1"/>
        <rFont val="Aptos Narrow"/>
        <family val="2"/>
        <scheme val="minor"/>
      </rPr>
      <t>e</t>
    </r>
  </si>
  <si>
    <r>
      <t>Enteric (CH</t>
    </r>
    <r>
      <rPr>
        <vertAlign val="subscript"/>
        <sz val="18"/>
        <color theme="1"/>
        <rFont val="Aptos Narrow"/>
        <family val="2"/>
        <scheme val="minor"/>
      </rPr>
      <t>4</t>
    </r>
    <r>
      <rPr>
        <sz val="18"/>
        <color theme="1"/>
        <rFont val="Aptos Narrow"/>
        <family val="2"/>
        <scheme val="minor"/>
      </rPr>
      <t>)</t>
    </r>
  </si>
  <si>
    <r>
      <t>Direct (N</t>
    </r>
    <r>
      <rPr>
        <vertAlign val="subscript"/>
        <sz val="18"/>
        <color theme="1"/>
        <rFont val="Aptos Narrow"/>
        <family val="2"/>
        <scheme val="minor"/>
      </rPr>
      <t>2</t>
    </r>
    <r>
      <rPr>
        <sz val="18"/>
        <color theme="1"/>
        <rFont val="Aptos Narrow"/>
        <family val="2"/>
        <scheme val="minor"/>
      </rPr>
      <t xml:space="preserve">0) </t>
    </r>
  </si>
  <si>
    <r>
      <t>Indirect (N</t>
    </r>
    <r>
      <rPr>
        <vertAlign val="subscript"/>
        <sz val="18"/>
        <color theme="1"/>
        <rFont val="Aptos Narrow"/>
        <family val="2"/>
        <scheme val="minor"/>
      </rPr>
      <t>2</t>
    </r>
    <r>
      <rPr>
        <sz val="18"/>
        <color theme="1"/>
        <rFont val="Aptos Narrow"/>
        <family val="2"/>
        <scheme val="minor"/>
      </rPr>
      <t xml:space="preserve">0) </t>
    </r>
  </si>
  <si>
    <r>
      <t>Manure (CH</t>
    </r>
    <r>
      <rPr>
        <vertAlign val="subscript"/>
        <sz val="18"/>
        <color theme="1"/>
        <rFont val="Aptos Narrow"/>
        <family val="2"/>
        <scheme val="minor"/>
      </rPr>
      <t>4</t>
    </r>
    <r>
      <rPr>
        <sz val="18"/>
        <color theme="1"/>
        <rFont val="Aptos Narrow"/>
        <family val="2"/>
        <scheme val="minor"/>
      </rPr>
      <t>)</t>
    </r>
  </si>
  <si>
    <t>total kg CH4</t>
  </si>
  <si>
    <t>total kg CO2e</t>
  </si>
  <si>
    <t>Total</t>
  </si>
  <si>
    <t>Emissions Intensity (per kg FBW)</t>
  </si>
  <si>
    <t xml:space="preserve"> Outcomes </t>
  </si>
  <si>
    <t>Ration</t>
  </si>
  <si>
    <t>Drop down- dead dates</t>
  </si>
  <si>
    <t xml:space="preserve">Date in </t>
  </si>
  <si>
    <t>short form, mm/dd/yyy</t>
  </si>
  <si>
    <t>Deads</t>
  </si>
  <si>
    <t>=DOF * # deads</t>
  </si>
  <si>
    <t>Final</t>
  </si>
  <si>
    <t>Removals</t>
  </si>
  <si>
    <t>=DOF * # railers</t>
  </si>
  <si>
    <t>=Total-Deads calculated + Deads accurate - railers calculated + railesr accurate</t>
  </si>
  <si>
    <t>Common</t>
  </si>
  <si>
    <t>Barley grain</t>
  </si>
  <si>
    <t>Oat grain</t>
  </si>
  <si>
    <t>Wheat straw</t>
  </si>
  <si>
    <t>Sorghum stover</t>
  </si>
  <si>
    <t>Wheat middlings</t>
  </si>
  <si>
    <t>Soybean hulls</t>
  </si>
  <si>
    <t>Cottonseed hulls</t>
  </si>
  <si>
    <t>Common Feedstuffs</t>
  </si>
  <si>
    <t>Corn grain, steam-flaked</t>
  </si>
  <si>
    <t>Corn grain, high-moisture</t>
  </si>
  <si>
    <t>Corn silage, well-eared</t>
  </si>
  <si>
    <t>Corn silage, few ears</t>
  </si>
  <si>
    <t>Corn silage, stalklage</t>
  </si>
  <si>
    <t>Distillers grains, wet (corn-based)</t>
  </si>
  <si>
    <t>Distillers grains, dry (corn-based)</t>
  </si>
  <si>
    <t>Distillers grains with solubles, dehydrated (corn-based)</t>
  </si>
  <si>
    <t>Distillers grains, wet (sorghum-based)</t>
  </si>
  <si>
    <t>Wheat grain, hard red spring</t>
  </si>
  <si>
    <t>Wheat grain, hard winter</t>
  </si>
  <si>
    <t>Wheat grain, soft red winter</t>
  </si>
  <si>
    <t>Sorghum grain, flaked</t>
  </si>
  <si>
    <t>Sorghum grain, reconstituted</t>
  </si>
  <si>
    <t>Sorghum grain, less than 8% protein</t>
  </si>
  <si>
    <t>Sorghum grain, 8% to 10% protein</t>
  </si>
  <si>
    <t>Sorghum grain, more than 10% protein</t>
  </si>
  <si>
    <t>Soybean meal, mechanical extracted</t>
  </si>
  <si>
    <t>Soybean meal, solvent extracted, 44% protein</t>
  </si>
  <si>
    <t>Soybean meal, solvent extracted, without hulls</t>
  </si>
  <si>
    <t>Cottonseed meal, mechanical extracted, 41% protein</t>
  </si>
  <si>
    <t>Cottonseed meal, prepressed extracted, 41% protein</t>
  </si>
  <si>
    <t>Cottonseed meal, solvent extracted, 41% protein</t>
  </si>
  <si>
    <t>Cottonseed meal without hulls, prepressed solvent extracted, 50% protein</t>
  </si>
  <si>
    <t>Sunflower meal, mechanical extracted</t>
  </si>
  <si>
    <t>Sunflower meal, solvent extracted</t>
  </si>
  <si>
    <t>Alfalfa hay, sun-cured, early bloom</t>
  </si>
  <si>
    <t>Alfalfa hay, sun-cured, midbloom</t>
  </si>
  <si>
    <t>Alfalfa hay, sun-cured, late bloom</t>
  </si>
  <si>
    <t>Brome hay, smooth bromegrass</t>
  </si>
  <si>
    <t>Prairie hay, sun-cured (Midwest native grasses)</t>
  </si>
  <si>
    <t>Timothy hay, sun-cured, late vegetative</t>
  </si>
  <si>
    <t>Timothy hay, sun-cured, early bloom</t>
  </si>
  <si>
    <t>Timothy hay, sun-cured, midbloom</t>
  </si>
  <si>
    <t>Timothy hay, sun-cured, full bloom</t>
  </si>
  <si>
    <t>Orchardgrass hay, sun-cured, early bloom</t>
  </si>
  <si>
    <t>Orchardgrass hay, sun-cured, late bloom</t>
  </si>
  <si>
    <t>Wheat middlings, less than 9.5% fiber</t>
  </si>
  <si>
    <t>Wheat bran</t>
  </si>
  <si>
    <t>Bakery waste, dehydrated (dried bakery product)</t>
  </si>
  <si>
    <t>Citrus pulp, silage</t>
  </si>
  <si>
    <t>Citrus pulp without fines, dehydrated (dried citrus pulp)</t>
  </si>
  <si>
    <t>Urea, 45% nitrogen, 281% protein equivalent</t>
  </si>
  <si>
    <t>Molasses, beet (more than 48% invert sugar, more than 79.5° Brix)</t>
  </si>
  <si>
    <t>Molasses, cane (sugarcane, more than 46% invert sugars, more than 79.5° Brix, blackstrap)</t>
  </si>
  <si>
    <t>Molasses, citrus (citrus syrup)</t>
  </si>
  <si>
    <t>Animal fat, dehydrated</t>
  </si>
  <si>
    <t>Vegetable oil</t>
  </si>
  <si>
    <t>Brewers yeast, dehydrated (Saccharomyces cerevisiae)</t>
  </si>
  <si>
    <t>Bakery Waste, dehydrated (dried bakery product)</t>
  </si>
  <si>
    <t>Barley (Hordeum vulgare)</t>
  </si>
  <si>
    <t>Brewers Grains, dehydrated</t>
  </si>
  <si>
    <t>Brewers Grains, wet</t>
  </si>
  <si>
    <t>Cereals Grain screenings</t>
  </si>
  <si>
    <t>Cereals Grain screenings refuse</t>
  </si>
  <si>
    <t>Cereals Grain screenings, uncleaned</t>
  </si>
  <si>
    <t>Lignin sulfonate, calcium Dehydrated</t>
  </si>
  <si>
    <t>Meadow plants, intermountain Hay, sun-cured</t>
  </si>
  <si>
    <t>Poultry Feathers, hydrolyzed</t>
  </si>
  <si>
    <t>Prairie plants, Midwest Hay, sun-cured</t>
  </si>
  <si>
    <t>Urea 45% nitrogen, 281% protein equivalent</t>
  </si>
  <si>
    <t>Alfalfa Fresh, late vegetative</t>
  </si>
  <si>
    <t>Alfalfa Fresh, early bloom</t>
  </si>
  <si>
    <t>Alfalfa Fresh, midbloom</t>
  </si>
  <si>
    <t>Alfalfa Fresh, full bloom</t>
  </si>
  <si>
    <t>Alfalfa Hay, sun-cured, early bloom</t>
  </si>
  <si>
    <t>Alfalfa Hay, sun-cured, midbloom</t>
  </si>
  <si>
    <t>Alfalfa Hay, sun-cured, late bloom</t>
  </si>
  <si>
    <t>Alfalfa Hay, sun-cured, mature</t>
  </si>
  <si>
    <t>Alfalfa Meal dehydrated, 17% protein</t>
  </si>
  <si>
    <t>Alfalfa Silage wilted, early bloom</t>
  </si>
  <si>
    <t>Alfalfa Silage wilted, midbloom</t>
  </si>
  <si>
    <t>Alfalfa Silage wilted, full bloom</t>
  </si>
  <si>
    <t>Alfalfa Alfalfa cubes</t>
  </si>
  <si>
    <t>Almond Hulls</t>
  </si>
  <si>
    <t>Apple Pomace oat hulls added, dehydrated</t>
  </si>
  <si>
    <t>Bahiagrass Fresh</t>
  </si>
  <si>
    <t>Bahiagrass Hay, sun-cured</t>
  </si>
  <si>
    <t>Barley Grain</t>
  </si>
  <si>
    <t>Barley Grain, Pacific coast</t>
  </si>
  <si>
    <t>Barley Grain screenings</t>
  </si>
  <si>
    <t>Barley Hay, sun-cured</t>
  </si>
  <si>
    <t>Barley Silage</t>
  </si>
  <si>
    <t>Barley Straw</t>
  </si>
  <si>
    <t>Bean, navy Seeds</t>
  </si>
  <si>
    <t>Beet, mangel Roots, fresh</t>
  </si>
  <si>
    <t>Sugar Beet (Beta vulgaris altissima)</t>
  </si>
  <si>
    <t>Sugar Beet Aerial part with crowns, silage</t>
  </si>
  <si>
    <t>Sugar Beet Pulp, dehydrated</t>
  </si>
  <si>
    <t>Sugar Beet Pulp, wet</t>
  </si>
  <si>
    <t>Sugar Beet Pulp with molasses, dehydrated</t>
  </si>
  <si>
    <t>Bermudagrass Fresh</t>
  </si>
  <si>
    <t>Bermudagrass Hay, sun-cured</t>
  </si>
  <si>
    <t>Coastal Bermudagrass (Cynodon dactylon)</t>
  </si>
  <si>
    <t>Coastal Bermudagrass Fresh</t>
  </si>
  <si>
    <t>Coastal Bermudagrass Hay, sun-cured</t>
  </si>
  <si>
    <t>Canada Bluegrass (Poa compressa)</t>
  </si>
  <si>
    <t>Canada Bluegrass Fresh, early vegetative</t>
  </si>
  <si>
    <t>Canada Bluegrass Hay, sun-cured, late vegetative</t>
  </si>
  <si>
    <t>Kentucky Bluegrass Fresh, early vegetative</t>
  </si>
  <si>
    <t>Kentucky Bluegrass  (Poa pratensis)</t>
  </si>
  <si>
    <t>Kentucky Bluegrass Fresh, mature</t>
  </si>
  <si>
    <t>Kentucky Bluegrass Hay, sun-cured</t>
  </si>
  <si>
    <t>Kentucky Bluegrass Hay, sun-cured, full bloom</t>
  </si>
  <si>
    <t>Bluestem Fresh, early vegetative</t>
  </si>
  <si>
    <t>Bluestem  Fresh, mature</t>
  </si>
  <si>
    <t>Bluestem Hay, sun-cured</t>
  </si>
  <si>
    <t>Brome Fresh, early vegetative</t>
  </si>
  <si>
    <t>Brome Hay, sun-cured, late vegetative</t>
  </si>
  <si>
    <t>Brome Hay, sun-cured, late bloom</t>
  </si>
  <si>
    <t>Smooth Brome (Bromus inermis)</t>
  </si>
  <si>
    <t>Smooth Brome Fresh, early vegetative</t>
  </si>
  <si>
    <t>Smooth Brome Fresh, mature</t>
  </si>
  <si>
    <t>Smooth Brome Hay, sun-cured, midbloom</t>
  </si>
  <si>
    <t>Common Buckwheat (Fagopyrum sagittatum)</t>
  </si>
  <si>
    <t>Common Buckwheat Grain</t>
  </si>
  <si>
    <t>Buffalograss Fresh</t>
  </si>
  <si>
    <t>Beed Canarygrass (Phalaris arundinacea)</t>
  </si>
  <si>
    <t>Beed Canarygrass Fresh</t>
  </si>
  <si>
    <t>Beed Canarygrass Hay, sun-cured</t>
  </si>
  <si>
    <t>Canola Grain</t>
  </si>
  <si>
    <t>Canola Canola meal</t>
  </si>
  <si>
    <t>Carrot Roots, fresh</t>
  </si>
  <si>
    <t>Common Cassava (Manihot esculenta)</t>
  </si>
  <si>
    <t>Common Cassava Tubers, meal</t>
  </si>
  <si>
    <t>Common Cassava Tubers, fresh</t>
  </si>
  <si>
    <t>Citrus Pulp, silage</t>
  </si>
  <si>
    <t>Citrus Pulp without fines, dehydrated (dried citrus pulp)</t>
  </si>
  <si>
    <t>Citrus Citrus pulp, wet</t>
  </si>
  <si>
    <t>Alsike Clover (Trifolium hybridum)</t>
  </si>
  <si>
    <t>Alsike Clover Fresh, early vegetative</t>
  </si>
  <si>
    <t>Alsike Clover Hay, sun-cured</t>
  </si>
  <si>
    <t>Crimson Clover (Trifolium incarnatum)</t>
  </si>
  <si>
    <t>Crimson Clover Fresh, early vegetative</t>
  </si>
  <si>
    <t>Crimson Clover Hay, sun-cured</t>
  </si>
  <si>
    <t>Ladino Clover (Trifolium repens)</t>
  </si>
  <si>
    <t>Ladino Clover Fresh, early vegetative</t>
  </si>
  <si>
    <t>Ladino Clover Hay, sun-cured</t>
  </si>
  <si>
    <t>Red Clover (Trifolium pratense)</t>
  </si>
  <si>
    <t>Red Clover Fresh, early bloom</t>
  </si>
  <si>
    <t>Red Clover Fresh, full bloom</t>
  </si>
  <si>
    <t>Red Clover Fresh, regrowth early vegetative</t>
  </si>
  <si>
    <t>Red Clover Hay, sun-cured</t>
  </si>
  <si>
    <t>Coconut Kernels with coats, meal mechanical extracted (copra meal)</t>
  </si>
  <si>
    <t>Coconut Kernels with coats, meal solvent extracted (copra meal)</t>
  </si>
  <si>
    <t>Corn (Zea mays indentata)</t>
  </si>
  <si>
    <t>Corn Aerial part with ears, sun-cured (fodder)</t>
  </si>
  <si>
    <t>Corn Aerial part with ears, sun-cured, mature (fodder)</t>
  </si>
  <si>
    <t>Corn Aerial part without ears, without husks, sun-cured (stover) (straw)</t>
  </si>
  <si>
    <t>Corn Cobs, ground</t>
  </si>
  <si>
    <t>Corn Distillers grains, dehydrated</t>
  </si>
  <si>
    <t>Corn Distillers grains with solubles, dehydrated</t>
  </si>
  <si>
    <t>Corn Distillers solubles, dehydrated</t>
  </si>
  <si>
    <t>Corn Distillers grains with solubles, wet (corn-based)</t>
  </si>
  <si>
    <t>Corn Ears, ground (corn and cob meal)</t>
  </si>
  <si>
    <t>Corn Ears with husks, silage</t>
  </si>
  <si>
    <t>Corn Gluten, meal</t>
  </si>
  <si>
    <t>Corn Gluten, meal 60% protein</t>
  </si>
  <si>
    <t>Corn Gluten with bran (corn gluten feed)</t>
  </si>
  <si>
    <t>Corn Grain, grade 2, 69.5 kg/hl</t>
  </si>
  <si>
    <t>Corn Grain, flaked</t>
  </si>
  <si>
    <t>Corn Grain, high moisture</t>
  </si>
  <si>
    <t>Corn Grits, by-products (hominy feed)</t>
  </si>
  <si>
    <t>Corn Silage, aerial part without ears, without husks (stalklage) (stover)</t>
  </si>
  <si>
    <t>Corn Silage, few ears</t>
  </si>
  <si>
    <t>Corn Silage, well-eared</t>
  </si>
  <si>
    <t>Corn Hominy feed</t>
  </si>
  <si>
    <t>Sweet Corn Process residue, silage (cannery residue)</t>
  </si>
  <si>
    <t>Sweet Corn Process residue, fresh (cannery residue)</t>
  </si>
  <si>
    <t>Cotton Bolls, sun-cured</t>
  </si>
  <si>
    <t>Cotton Hulls</t>
  </si>
  <si>
    <t>Cotton Seeds</t>
  </si>
  <si>
    <t>Cotton Seeds, meal mechanical extracted, 41% protein</t>
  </si>
  <si>
    <t>Cotton Seeds, meal prepressed extracted, 41% protein</t>
  </si>
  <si>
    <t>Cotton Seeds, meal solvent extracted, 41% protein</t>
  </si>
  <si>
    <t>Cotton Seeds without hulls, meal prepressed solvent extracted 50% protein</t>
  </si>
  <si>
    <t>Common Cowpea (Vigna sinensis)</t>
  </si>
  <si>
    <t>Common Cowpea Hay, sun-cured</t>
  </si>
  <si>
    <t>Sand Dropseed (Sporobolus cryptandrus)</t>
  </si>
  <si>
    <t>Sand Dropseed Fresh, stem-cured</t>
  </si>
  <si>
    <t>Animal Fat, dehydrated</t>
  </si>
  <si>
    <t>Poultry Fat</t>
  </si>
  <si>
    <t>Vegetable Oil</t>
  </si>
  <si>
    <t>Fescue Hay, sun-cured, early vegetative</t>
  </si>
  <si>
    <t>Fescue Hay, sun-cured, early bloom</t>
  </si>
  <si>
    <t>Common Flax (Linum usitatissimum)</t>
  </si>
  <si>
    <t>Common Flax Seed screanings</t>
  </si>
  <si>
    <t>Common Flax  Seeds, meal mechanical extracted, linseed meal</t>
  </si>
  <si>
    <t>Common Flax Seeds, meal solvent extracted, linseed meal</t>
  </si>
  <si>
    <t>Galeta Fresh, stem-cured</t>
  </si>
  <si>
    <t>Galeta Glycerin</t>
  </si>
  <si>
    <t>Grama Fresh, early vegetative</t>
  </si>
  <si>
    <t>Grama Fresh, mature</t>
  </si>
  <si>
    <t>Grape Marc, dehydrated (pomace)</t>
  </si>
  <si>
    <t>Grape Mark, wet (pomace)</t>
  </si>
  <si>
    <t>Grape Hemicellulose extract (masonex)</t>
  </si>
  <si>
    <t>Lespedeza Fresh, late vegetative</t>
  </si>
  <si>
    <t>Lespedeza Fresh, early bloom</t>
  </si>
  <si>
    <t>Lespedeza Hay, sun-cured, early bloom</t>
  </si>
  <si>
    <t>Lespedeza Hay, sun-cured, midbloom</t>
  </si>
  <si>
    <t>Lespedeza Hay, sun-cured, full bloom</t>
  </si>
  <si>
    <t>Foxtail Millet (Setaria italica)</t>
  </si>
  <si>
    <t>Foxtail Millet Fresh</t>
  </si>
  <si>
    <t>Foxtail Millet Grain</t>
  </si>
  <si>
    <t>Foxtail Millet Hay, sun-cured</t>
  </si>
  <si>
    <t>Proso Millet (Panicum miliaceum)</t>
  </si>
  <si>
    <t>Proso Millet Grain</t>
  </si>
  <si>
    <t>Napiergrass Fresh, late vegetative</t>
  </si>
  <si>
    <t>Napiergrass Fresh, late bloom</t>
  </si>
  <si>
    <t>Needleandthread Fresh, stem-cured</t>
  </si>
  <si>
    <t>Oats Grain</t>
  </si>
  <si>
    <t>Oats Grain, Pacific coast</t>
  </si>
  <si>
    <t>Oats Groats</t>
  </si>
  <si>
    <t>Oats Hay, sun-cured</t>
  </si>
  <si>
    <t>Oats Hulls</t>
  </si>
  <si>
    <t>Oats Silage, late vegetative</t>
  </si>
  <si>
    <t>Oats Silage, dough stage</t>
  </si>
  <si>
    <t>Oats Straw</t>
  </si>
  <si>
    <t>Orchardgrass Fresh, early vegetative</t>
  </si>
  <si>
    <t>Orchardgrass Fresh, midbloom</t>
  </si>
  <si>
    <t>Orchardgrass Hay, sun-cured, early bloom</t>
  </si>
  <si>
    <t>Orchardgrass Hay, sun-cured, late bloom</t>
  </si>
  <si>
    <t>Pangolagrass Fresh</t>
  </si>
  <si>
    <t>Pangolagrass Hay, sun-cured, 15 to 28 days growth</t>
  </si>
  <si>
    <t>Pangolagrass Hay, sun-cured, 29 to 42 days growth</t>
  </si>
  <si>
    <t>Pangolagrass Hay, sun-cured, 43 to 56 days growth</t>
  </si>
  <si>
    <t>Pea Seeds</t>
  </si>
  <si>
    <t>Pea Straw</t>
  </si>
  <si>
    <t>Pea Vines without seeds, silage</t>
  </si>
  <si>
    <t>Pea Field peas</t>
  </si>
  <si>
    <t>Peanut Hay, sun-cured</t>
  </si>
  <si>
    <t>Peanut Hulls (pods)</t>
  </si>
  <si>
    <t>Peanut Kernels, meal mechanical extracted (peanut meal)</t>
  </si>
  <si>
    <t>Peanut Kernels, meal solvent extracted (peanut meal)</t>
  </si>
  <si>
    <t>Pearlmillet Fresh</t>
  </si>
  <si>
    <t>Pineapple Aerial part without fruit, sun-cured (pineapple hay)</t>
  </si>
  <si>
    <t>Pineapple Process residue, dehydrated (pineapple bran)</t>
  </si>
  <si>
    <t>Potato Process residue, dehydrated</t>
  </si>
  <si>
    <t>Potato Tubers, fresh</t>
  </si>
  <si>
    <t>Potato Tubers, silage</t>
  </si>
  <si>
    <t>Rape (Canola) Fresh, early bloom</t>
  </si>
  <si>
    <t>Rape (Canola) Seeds, meal mechanical extracted</t>
  </si>
  <si>
    <t>Rape (Canola) Seeds, meal solvent extracted</t>
  </si>
  <si>
    <t>Redtop Fresh</t>
  </si>
  <si>
    <t>Redtop Hay, sun-cured, midbloom</t>
  </si>
  <si>
    <t>Rice Bran with germs (rice, bran)</t>
  </si>
  <si>
    <t>Rice Grain, ground (ground rough rice)</t>
  </si>
  <si>
    <t>Rice Hulls</t>
  </si>
  <si>
    <t>Rice Straw</t>
  </si>
  <si>
    <t>Rye Distillers grains, dehydrated</t>
  </si>
  <si>
    <t>Rye Fresh</t>
  </si>
  <si>
    <t>Rye Grain</t>
  </si>
  <si>
    <t>Rye Mill run, less than 9.5% fiber (rye feed)</t>
  </si>
  <si>
    <t>Rye Straw</t>
  </si>
  <si>
    <t>Italian Ryegrass (Lolium multiflorum)</t>
  </si>
  <si>
    <t>Italian Ryegrass Fresh</t>
  </si>
  <si>
    <t>Italian Ryegrass Hay, sun-cured, late vegetative</t>
  </si>
  <si>
    <t>Italian Ryegrass Hay, sun-cured, early bloom</t>
  </si>
  <si>
    <t>Perennial Ryegrass (Lolium perenne)</t>
  </si>
  <si>
    <t>Perennial Ryegrass Fresh</t>
  </si>
  <si>
    <t>Perennial Ryegrass Hay, sun-cured</t>
  </si>
  <si>
    <t>Safflower Seeds</t>
  </si>
  <si>
    <t>Safflower Seeds, meal mechanical extracted</t>
  </si>
  <si>
    <t>Safflower Seeds, meal solvent extracted</t>
  </si>
  <si>
    <t>Safflower Seeds without hulls, meal solvent extracted</t>
  </si>
  <si>
    <t>Black Sage (Salvia mellifera)</t>
  </si>
  <si>
    <t>Black Sage Browse, fresh, stem-cured</t>
  </si>
  <si>
    <t>Big Sagebrush (Artemisia tridentata)</t>
  </si>
  <si>
    <t>Big Sagebrush Browse, fresh, stem-cured</t>
  </si>
  <si>
    <t>Bud Sagebrush (Artemisia spinescens)</t>
  </si>
  <si>
    <t>Bud Sagebrush Browse, fresh, early vegetative</t>
  </si>
  <si>
    <t>Bud Sagebrush Browse, fresh, late vegetative</t>
  </si>
  <si>
    <t>Fringed Sagebrush (Artemisia frigida)</t>
  </si>
  <si>
    <t>Fringed Sagebrush Browse, fresh, midbloom</t>
  </si>
  <si>
    <t>Fringed Sagebrush Browse, fresh, mature</t>
  </si>
  <si>
    <t>Nuttall Saltbush (Atriplex nuttallii)</t>
  </si>
  <si>
    <t>Nuttall Saltbush Browse, fresh, stem-cured</t>
  </si>
  <si>
    <t>Saltgrass Fresh, post ripe</t>
  </si>
  <si>
    <t>Saltgrass Hay, sun-cured</t>
  </si>
  <si>
    <t>Seaweed, kelp Whole, dehydrated</t>
  </si>
  <si>
    <t>Sedge Hay, sun-cured</t>
  </si>
  <si>
    <t>Sesame Seeds, meal mechanical extracted</t>
  </si>
  <si>
    <t>Sesame Solka Floc</t>
  </si>
  <si>
    <t>Sorghum  Aerial part with heads, sun-cured (fodder)</t>
  </si>
  <si>
    <t>Sorghum  Aerial part without heads, sun-cured (stover)</t>
  </si>
  <si>
    <t>Sorghum Distillers grains, dehydrated</t>
  </si>
  <si>
    <t>Sorghum Distillers grains with solubles, wet (sorghum-based)</t>
  </si>
  <si>
    <t>Sorghum Grain, less than 8% protein</t>
  </si>
  <si>
    <t>Sorghum Grain, 8% to 10% protein</t>
  </si>
  <si>
    <t>Sorghum Grain, more than 10% protein</t>
  </si>
  <si>
    <t>Sorghum Grain, flaked</t>
  </si>
  <si>
    <t>Sorghum Grain, reconstituted</t>
  </si>
  <si>
    <t>Sorghum Silage</t>
  </si>
  <si>
    <t xml:space="preserve"> Johnsongrass Sorghum Hay, sun-cured</t>
  </si>
  <si>
    <t xml:space="preserve"> Johnsongrass Sorghum (Sorghum halepense)</t>
  </si>
  <si>
    <t>Sorgo Sorghum  (Sorghum bicolor saccharatum)</t>
  </si>
  <si>
    <t>Sorgo Sorghum Silage</t>
  </si>
  <si>
    <t>Sudangrass Sorghum (Sorghum bicolor sudanense)</t>
  </si>
  <si>
    <t>Sudangrass Sorghum Fresh, early vegetative</t>
  </si>
  <si>
    <t>Sudangrass Sorghum Fresh, midbloom</t>
  </si>
  <si>
    <t>Sudangrass Sorghum Hay, sun-cured</t>
  </si>
  <si>
    <t>Sudangrass Sorghum Silage</t>
  </si>
  <si>
    <t>Soybean Hay, sun-cured, midbloom</t>
  </si>
  <si>
    <t>Soybean Hulls (seed coats)</t>
  </si>
  <si>
    <t>Soybean Seeds</t>
  </si>
  <si>
    <t>Soybean Seeds, meal mechanical extracted</t>
  </si>
  <si>
    <t>Soybean Seeds, meal solvent extracted, 44% protein</t>
  </si>
  <si>
    <t>Soybean Seeds without hulls, meal solvent extracted</t>
  </si>
  <si>
    <t>Soybean Silage</t>
  </si>
  <si>
    <t>Soybean Straw</t>
  </si>
  <si>
    <t>Spelt Grain</t>
  </si>
  <si>
    <t>Squirreltail Fresh, stem-cured</t>
  </si>
  <si>
    <t>Sugarcane Bagasse, dehydrated</t>
  </si>
  <si>
    <t>Sugarcane Stems, fresh</t>
  </si>
  <si>
    <t>Sugarcane Sugar</t>
  </si>
  <si>
    <t>Gray Summercypress (Kochia vestita)</t>
  </si>
  <si>
    <t>Gray Summercypress Fresh, stem-cured</t>
  </si>
  <si>
    <t>Common Sunflower (Helianthus annuus)</t>
  </si>
  <si>
    <t>Common Sunflower Seeds, meal solvent extracted</t>
  </si>
  <si>
    <t>Common Sunflower Seeds without hulls, meal mechanical extracted</t>
  </si>
  <si>
    <t>Common Sunflower Seeds without hulls, meal solvent extracted</t>
  </si>
  <si>
    <t>Yellow Sweetclover (Melilotus officinalis)</t>
  </si>
  <si>
    <t>Yellow Sweetclover Hay, sun-cured</t>
  </si>
  <si>
    <t>Timothy Fresh, late vegetative</t>
  </si>
  <si>
    <t>Timothy Fresh, midbloom</t>
  </si>
  <si>
    <t>Timothy Hay, sun-cured, late vegetative</t>
  </si>
  <si>
    <t>Timothy Hay, sun-cured, early bloom</t>
  </si>
  <si>
    <t>Timothy Hay, sun-cured, midbloom</t>
  </si>
  <si>
    <t>Timothy Hay, sun-cured, full bloom</t>
  </si>
  <si>
    <t>Timothy Silage, full bloom</t>
  </si>
  <si>
    <t>Tomato Pomace, dehydrated</t>
  </si>
  <si>
    <t>Birdsfoot Trefoil (Lotus corniculatus)</t>
  </si>
  <si>
    <t>Birdsfoot Trefoil Fresh</t>
  </si>
  <si>
    <t>Birdsfoot Trefoil Hay, sun-cured</t>
  </si>
  <si>
    <t>Triticale Grain</t>
  </si>
  <si>
    <t>Triticale Triticale hay</t>
  </si>
  <si>
    <t>Turnip Roots, fresh</t>
  </si>
  <si>
    <t>Vetch hay, sun-cured</t>
  </si>
  <si>
    <t>Wheat Bran</t>
  </si>
  <si>
    <t>Wheat Bread, dehydrated</t>
  </si>
  <si>
    <t>Wheat Flour by-product, less than 7% fiber (wheat shorts)</t>
  </si>
  <si>
    <t>Wheat Flour by-product, less than 9.5% fiber (wheat middlings)</t>
  </si>
  <si>
    <t>Wheat Fresh, early vegetative</t>
  </si>
  <si>
    <t>Wheat Grain</t>
  </si>
  <si>
    <t>Wheat Grain, hard red spring</t>
  </si>
  <si>
    <t>Wheat Grain, hard winter</t>
  </si>
  <si>
    <t>Wheat Grain, soft red winter</t>
  </si>
  <si>
    <t>Wheat Grain, soft white winter</t>
  </si>
  <si>
    <t>Wheat Grain, soft white winter, pacific coast</t>
  </si>
  <si>
    <t>Wheat Grain screenings</t>
  </si>
  <si>
    <t>Wheat Grain, steam flaked</t>
  </si>
  <si>
    <t>Wheat Hay, sun-cured</t>
  </si>
  <si>
    <t>Wheat Mill run, less than 9.5% fiber (midds)</t>
  </si>
  <si>
    <t>Wheat Silage, full bloom</t>
  </si>
  <si>
    <t>Wheat Straw</t>
  </si>
  <si>
    <t>Durum Wheat (Triticum durum)</t>
  </si>
  <si>
    <t>Durum WheatGrain</t>
  </si>
  <si>
    <t>Crested Wheatgrass (Agropyron desertorum)</t>
  </si>
  <si>
    <t>Crested Wheatgrass Fresh, early vegetative</t>
  </si>
  <si>
    <t>Crested Wheatgrass Fresh, full bloom</t>
  </si>
  <si>
    <t>Crested Wheatgrass Fresh, post ripe</t>
  </si>
  <si>
    <t>Crested Wheatgrass Hay, sun-cured</t>
  </si>
  <si>
    <t>Whey Dehydrated (cattle)</t>
  </si>
  <si>
    <t>Whey Fresh (cattle)</t>
  </si>
  <si>
    <t>Whey Low lactose, dehydrated (dried whey product) (cattle)</t>
  </si>
  <si>
    <t>Common Winterfat (Eurotia lanata)</t>
  </si>
  <si>
    <t>Common Winterfat Fresh, stem-cured</t>
  </si>
  <si>
    <t>Brewers Yeast (Saccharomyces cerevisiae)</t>
  </si>
  <si>
    <t>Brewers Yeast brewers Dehydrated</t>
  </si>
  <si>
    <t>Irradiated 1.4 Yeast (Saccharomyces cerevisiae) Dehydrated</t>
  </si>
  <si>
    <t>Irradiated 1.4 Yeast (Saccharomyces cerevisiae)</t>
  </si>
  <si>
    <t>Primary Yeast (Saccharomyces cerevisiae)</t>
  </si>
  <si>
    <t>Primary Yeast (Saccharomyces cerevisiae) Dehydrated</t>
  </si>
  <si>
    <t>Torula Yeast (Torulopsis utilis)</t>
  </si>
  <si>
    <t>Torula Yeast Dehydrated</t>
  </si>
  <si>
    <t>Corn gluten meal</t>
  </si>
  <si>
    <t>Corn hominy feed</t>
  </si>
  <si>
    <t>Barley grain, Pacific coast</t>
  </si>
  <si>
    <t>Barley grain screenings</t>
  </si>
  <si>
    <t>Wheat grain, soft white winter</t>
  </si>
  <si>
    <t>Wheat grain, soft white winter, Pacific coast</t>
  </si>
  <si>
    <t>Oat groats</t>
  </si>
  <si>
    <t>Soybean hulls (seed coats)</t>
  </si>
  <si>
    <t>Peanut meal, mechanical extracted</t>
  </si>
  <si>
    <t>Peanut meal, solvent extracted</t>
  </si>
  <si>
    <t>Torula yeast (Torulopsis utilis), dehydrated</t>
  </si>
  <si>
    <t>Oat hay, sun-cured</t>
  </si>
  <si>
    <t>Poultry fat</t>
  </si>
  <si>
    <t>All Feedstuff</t>
  </si>
  <si>
    <t>Johnsongrass Sorghum Hay, sun-cured</t>
  </si>
  <si>
    <t>Feedstuff 1</t>
  </si>
  <si>
    <t>Feedstuff 2</t>
  </si>
  <si>
    <t>Feedstuff 3</t>
  </si>
  <si>
    <t>Feedstuff 4</t>
  </si>
  <si>
    <t>Feedstuff 5</t>
  </si>
  <si>
    <t>Feedstuff 6</t>
  </si>
  <si>
    <t>Feedstuff 7</t>
  </si>
  <si>
    <t>Feedstuff 8</t>
  </si>
  <si>
    <t>Feedstuff 9</t>
  </si>
  <si>
    <t>Feedstuff 10</t>
  </si>
  <si>
    <t>pick from drop down</t>
  </si>
  <si>
    <t>Uncommon</t>
  </si>
  <si>
    <t>Drop down</t>
  </si>
  <si>
    <t xml:space="preserve">Corn Silage, average </t>
  </si>
  <si>
    <t>Alfalfa hay, average</t>
  </si>
  <si>
    <t>Alfalfa Hay, average</t>
  </si>
  <si>
    <t>Supplement, other</t>
  </si>
  <si>
    <t>inclusion % DM</t>
  </si>
  <si>
    <t>DM Value (constant)</t>
  </si>
  <si>
    <t>Corn Grain, steam-flaked</t>
  </si>
  <si>
    <t>DM Value, decimal</t>
  </si>
  <si>
    <t>calculated dry matter</t>
  </si>
  <si>
    <t>DMI, lbs</t>
  </si>
  <si>
    <t>dry matter intake, lbs</t>
  </si>
  <si>
    <t>% CP</t>
  </si>
  <si>
    <t>As Fed, %</t>
  </si>
  <si>
    <t>Moisture, %</t>
  </si>
  <si>
    <t>Head days/ head out</t>
  </si>
  <si>
    <t>=DOF * Head out</t>
  </si>
  <si>
    <t>D &amp; R</t>
  </si>
  <si>
    <t>Close-out Information</t>
  </si>
  <si>
    <t>Railers, DOF</t>
  </si>
  <si>
    <t>Deads, DOF</t>
  </si>
  <si>
    <t>Steer or heifer</t>
  </si>
  <si>
    <t>Dry feed delivered, lbs</t>
  </si>
  <si>
    <t>The pounds of feed delivered to the animals during the entire feeding period, on a dry matter basis</t>
  </si>
  <si>
    <t>The number of deads</t>
  </si>
  <si>
    <t>The number of animals that were railed or realized</t>
  </si>
  <si>
    <t>The total weight of the animals that left the feedyard for that lot in pounds, multiplied by 0.96 (4% shrink)</t>
  </si>
  <si>
    <t>The total ADG of the lot</t>
  </si>
  <si>
    <t>The total G:F of the lot</t>
  </si>
  <si>
    <t>The number of animals that arrived at the feedyard for that lot</t>
  </si>
  <si>
    <t>The number of animals that were shipped to the packing plant at the end of the feeding period for that lot</t>
  </si>
  <si>
    <t>The total weight of the animals that arrived at the feedyard for that lot in pounds</t>
  </si>
  <si>
    <t xml:space="preserve">The amount of lbs </t>
  </si>
  <si>
    <t>The total weight ot the carcasses for that lot in pounds</t>
  </si>
  <si>
    <t>Ingredient and % DM inclusion of the ration</t>
  </si>
  <si>
    <t>The estimated kg CO2e/kg FBW (emissions per FBW)</t>
  </si>
  <si>
    <t>Emissions Intensity (per kg HCW)</t>
  </si>
  <si>
    <t>This calculator estimates greenhouse gas (GHG) emissions in feedlot cattle production using standard production data like DMI, HCW, and mortality. Users can input feedlot trial data to compare emissions across treatment groups and assess the impact of health and production interventions on sustainability outcomes.</t>
  </si>
  <si>
    <t>FBW</t>
  </si>
  <si>
    <t>HCW</t>
  </si>
  <si>
    <t>pounds to kg</t>
  </si>
  <si>
    <t>Feed delivered</t>
  </si>
  <si>
    <t>Emissions Intensity (kg feed delivered)</t>
  </si>
  <si>
    <t>The estimated kg CO2e/kg HCW (emissions per HCW)</t>
  </si>
  <si>
    <t>https://water.usgs.gov/owq/AFO/proceedings/afo/html/ham.html</t>
  </si>
  <si>
    <t>conversion of N20-N to N20 emissions</t>
  </si>
  <si>
    <t>DMI % BW</t>
  </si>
  <si>
    <t>dry matter intake, % of BW</t>
  </si>
  <si>
    <t>Total DM, kg</t>
  </si>
  <si>
    <t>Avg. BW, kg</t>
  </si>
  <si>
    <t>Head days</t>
  </si>
  <si>
    <t>dof</t>
  </si>
  <si>
    <t>Direct manure N2O, kg of CO2e</t>
  </si>
  <si>
    <t>DMI, kg/hd/d</t>
  </si>
  <si>
    <t>TNstorage = Pop x Nex x (1-((%Nh3/100)+(%Nleach/100) + EfN20 + (EfN20 x RN2(N20)))</t>
  </si>
  <si>
    <t>s</t>
  </si>
  <si>
    <t>N20 indirectm = TnStorage ((%Nh3/100)+(%Nleach/100)) x 0.01 x (44/28) x (%MMS/100)</t>
  </si>
  <si>
    <t xml:space="preserve">  </t>
  </si>
  <si>
    <t>Steam flaked or high moisture corn</t>
  </si>
  <si>
    <t>uncprocessed or dry rolled corn or sorghum</t>
  </si>
  <si>
    <t>dry rolled or steam flaked barley</t>
  </si>
  <si>
    <t>Fat Supplement</t>
  </si>
  <si>
    <t>The estimated total enteric fermentaion CH4 as kg CO2e</t>
  </si>
  <si>
    <t>The estimated total manure CH4 as kg CO2e</t>
  </si>
  <si>
    <t>The estimated total direct N2O as kg CO2e</t>
  </si>
  <si>
    <t>The estimated total indirect N2O as kg CO2e</t>
  </si>
  <si>
    <t>MCF liquid storage-&gt;</t>
  </si>
  <si>
    <t>MCF dry lot-&gt;</t>
  </si>
  <si>
    <t>methane conversion factor for the manure management system (%)</t>
  </si>
  <si>
    <t>methane emissions (kg CH4/day)</t>
  </si>
  <si>
    <t>Watonga, OK</t>
  </si>
  <si>
    <t>Parma, ID</t>
  </si>
  <si>
    <t>Sugar Beet pulp, wet</t>
  </si>
  <si>
    <t>Sugar Beet pulp, dehydrated</t>
  </si>
  <si>
    <t>Sugar Beet pulp with molasses, dehydrated</t>
  </si>
  <si>
    <t>Developed by Dr. Taylor McAtee</t>
  </si>
  <si>
    <t>First, input data from your closeouts into the yellow USER INPUTS tab. Reference the gray GUIDELINES tab for definitions and units of inputs. Next, the green USER OUTPUTS tab has the estimated emissions per kg FBW and HCW. For questions about the calculator, e-mail: thom94@ksu.edu.</t>
  </si>
  <si>
    <t>Emissions Intensity (per kg LWG)</t>
  </si>
  <si>
    <t>=gross shrunk ship weight - gross arrival weight</t>
  </si>
  <si>
    <t>Live weight gain, lb</t>
  </si>
  <si>
    <t>Live weight gain, kg</t>
  </si>
  <si>
    <t>The estimated kg CO2e/kg LWG (emissions per live weight gain)</t>
  </si>
  <si>
    <t>Version - 6.15.2026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</si>
</sst>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28">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vertAlign val="subscript"/>
      <sz val="11"/>
      <color theme="1"/>
      <name val="Aptos Narrow"/>
      <family val="2"/>
      <scheme val="minor"/>
    </font>
    <font>
      <b/>
      <vertAlign val="subscript"/>
      <sz val="11"/>
      <color theme="1"/>
      <name val="Aptos Narrow"/>
      <family val="2"/>
      <scheme val="minor"/>
    </font>
    <font>
      <sz val="11"/>
      <color theme="0"/>
      <name val="Aptos Narrow"/>
      <family val="2"/>
      <scheme val="minor"/>
    </font>
    <font>
      <u/>
      <sz val="11"/>
      <color theme="10"/>
      <name val="Aptos Narrow"/>
      <family val="2"/>
      <scheme val="minor"/>
    </font>
    <font>
      <sz val="10"/>
      <name val="Arial"/>
      <family val="2"/>
    </font>
    <font>
      <b/>
      <sz val="12"/>
      <color theme="0"/>
      <name val="Arial"/>
      <family val="2"/>
    </font>
    <font>
      <b/>
      <i/>
      <sz val="20"/>
      <color theme="0"/>
      <name val="Aptos Narrow"/>
      <family val="2"/>
      <scheme val="minor"/>
    </font>
    <font>
      <b/>
      <sz val="12"/>
      <color theme="0"/>
      <name val="Aptos Narrow"/>
      <family val="2"/>
      <scheme val="minor"/>
    </font>
    <font>
      <sz val="10"/>
      <color theme="0"/>
      <name val="Aptos Narrow"/>
      <family val="2"/>
      <scheme val="minor"/>
    </font>
    <font>
      <b/>
      <i/>
      <sz val="12"/>
      <color theme="0"/>
      <name val="Arial"/>
      <family val="2"/>
    </font>
    <font>
      <b/>
      <u/>
      <sz val="11"/>
      <color theme="1"/>
      <name val="Aptos Narrow"/>
      <family val="2"/>
      <scheme val="minor"/>
    </font>
    <font>
      <sz val="12"/>
      <color theme="1"/>
      <name val="Aptos Narrow"/>
      <family val="2"/>
      <scheme val="minor"/>
    </font>
    <font>
      <b/>
      <sz val="16"/>
      <color theme="1"/>
      <name val="Aptos Narrow"/>
      <family val="2"/>
      <scheme val="minor"/>
    </font>
    <font>
      <sz val="16"/>
      <color theme="1"/>
      <name val="Aptos Narrow"/>
      <family val="2"/>
      <scheme val="minor"/>
    </font>
    <font>
      <b/>
      <sz val="22"/>
      <color theme="0"/>
      <name val="Aptos Narrow"/>
      <family val="2"/>
      <scheme val="minor"/>
    </font>
    <font>
      <b/>
      <i/>
      <sz val="18"/>
      <color theme="1"/>
      <name val="Aptos Narrow"/>
      <family val="2"/>
      <scheme val="minor"/>
    </font>
    <font>
      <b/>
      <sz val="18"/>
      <color theme="1"/>
      <name val="Aptos Narrow"/>
      <family val="2"/>
      <scheme val="minor"/>
    </font>
    <font>
      <sz val="18"/>
      <color theme="1"/>
      <name val="Aptos Narrow"/>
      <family val="2"/>
      <scheme val="minor"/>
    </font>
    <font>
      <b/>
      <i/>
      <sz val="11"/>
      <color theme="1"/>
      <name val="Aptos Narrow"/>
      <family val="2"/>
      <scheme val="minor"/>
    </font>
    <font>
      <b/>
      <sz val="11"/>
      <color theme="0"/>
      <name val="Aptos Narrow"/>
      <family val="2"/>
      <scheme val="minor"/>
    </font>
    <font>
      <sz val="8"/>
      <name val="Aptos Narrow"/>
      <family val="2"/>
      <scheme val="minor"/>
    </font>
    <font>
      <b/>
      <vertAlign val="subscript"/>
      <sz val="18"/>
      <color theme="1"/>
      <name val="Aptos Narrow"/>
      <family val="2"/>
      <scheme val="minor"/>
    </font>
    <font>
      <vertAlign val="subscript"/>
      <sz val="18"/>
      <color theme="1"/>
      <name val="Aptos Narrow"/>
      <family val="2"/>
      <scheme val="minor"/>
    </font>
    <font>
      <i/>
      <sz val="16"/>
      <color theme="1"/>
      <name val="Aptos Narrow"/>
      <family val="2"/>
      <scheme val="minor"/>
    </font>
  </fonts>
  <fills count="24">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BFED2"/>
        <bgColor indexed="64"/>
      </patternFill>
    </fill>
    <fill>
      <patternFill patternType="solid">
        <fgColor theme="2"/>
        <bgColor indexed="64"/>
      </patternFill>
    </fill>
    <fill>
      <patternFill patternType="solid">
        <fgColor theme="0"/>
        <bgColor theme="0"/>
      </patternFill>
    </fill>
    <fill>
      <patternFill patternType="solid">
        <fgColor rgb="FF7030A0"/>
        <bgColor indexed="64"/>
      </patternFill>
    </fill>
    <fill>
      <patternFill patternType="solid">
        <fgColor theme="0"/>
        <bgColor indexed="64"/>
      </patternFill>
    </fill>
    <fill>
      <patternFill patternType="solid">
        <fgColor theme="0" tint="-0.14999847407452621"/>
        <bgColor indexed="64"/>
      </patternFill>
    </fill>
    <fill>
      <patternFill patternType="solid">
        <fgColor rgb="FFC9A493"/>
        <bgColor indexed="64"/>
      </patternFill>
    </fill>
    <fill>
      <patternFill patternType="solid">
        <fgColor rgb="FF512888"/>
        <bgColor indexed="64"/>
      </patternFill>
    </fill>
    <fill>
      <patternFill patternType="solid">
        <fgColor theme="0" tint="-4.9989318521683403E-2"/>
        <bgColor indexed="64"/>
      </patternFill>
    </fill>
    <fill>
      <patternFill patternType="solid">
        <fgColor rgb="FFE6F2DE"/>
        <bgColor indexed="64"/>
      </patternFill>
    </fill>
    <fill>
      <patternFill patternType="solid">
        <fgColor theme="1"/>
        <bgColor indexed="64"/>
      </patternFill>
    </fill>
    <fill>
      <patternFill patternType="solid">
        <fgColor theme="7" tint="0.79998168889431442"/>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8989"/>
        <bgColor indexed="64"/>
      </patternFill>
    </fill>
  </fills>
  <borders count="6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8" fillId="0" borderId="0"/>
    <xf numFmtId="0" fontId="15" fillId="0" borderId="0"/>
  </cellStyleXfs>
  <cellXfs count="225">
    <xf numFmtId="0" fontId="0" fillId="0" borderId="0" xfId="0"/>
    <xf numFmtId="0" fontId="0" fillId="0" borderId="3" xfId="0" applyBorder="1"/>
    <xf numFmtId="0" fontId="0" fillId="3" borderId="3" xfId="0" applyFill="1" applyBorder="1"/>
    <xf numFmtId="0" fontId="0" fillId="4" borderId="3" xfId="0" applyFill="1" applyBorder="1"/>
    <xf numFmtId="0" fontId="2" fillId="0" borderId="2" xfId="0" applyFont="1" applyBorder="1" applyAlignment="1">
      <alignment horizontal="center"/>
    </xf>
    <xf numFmtId="0" fontId="2" fillId="0" borderId="5" xfId="0" applyFont="1" applyBorder="1" applyAlignment="1">
      <alignment horizontal="center"/>
    </xf>
    <xf numFmtId="0" fontId="0" fillId="0" borderId="6" xfId="0" applyBorder="1"/>
    <xf numFmtId="0" fontId="0" fillId="2" borderId="7" xfId="0" applyFill="1" applyBorder="1"/>
    <xf numFmtId="0" fontId="0" fillId="3" borderId="1" xfId="0" applyFill="1" applyBorder="1"/>
    <xf numFmtId="0" fontId="0" fillId="2" borderId="9" xfId="0" applyFill="1" applyBorder="1"/>
    <xf numFmtId="2" fontId="0" fillId="0" borderId="10" xfId="1" applyNumberFormat="1" applyFont="1" applyBorder="1"/>
    <xf numFmtId="0" fontId="0" fillId="0" borderId="0" xfId="0" applyAlignment="1">
      <alignment wrapText="1"/>
    </xf>
    <xf numFmtId="0" fontId="2" fillId="0" borderId="3" xfId="0" applyFont="1" applyBorder="1"/>
    <xf numFmtId="0" fontId="0" fillId="0" borderId="3" xfId="0" applyBorder="1" applyAlignment="1">
      <alignment wrapText="1"/>
    </xf>
    <xf numFmtId="2" fontId="0" fillId="2" borderId="3" xfId="0" applyNumberFormat="1" applyFill="1" applyBorder="1"/>
    <xf numFmtId="2" fontId="0" fillId="3" borderId="3" xfId="0" applyNumberFormat="1" applyFill="1" applyBorder="1"/>
    <xf numFmtId="2" fontId="0" fillId="4" borderId="3" xfId="0" applyNumberFormat="1" applyFill="1" applyBorder="1"/>
    <xf numFmtId="0" fontId="0" fillId="6" borderId="0" xfId="0" applyFill="1" applyAlignment="1">
      <alignment wrapText="1"/>
    </xf>
    <xf numFmtId="1" fontId="0" fillId="0" borderId="0" xfId="0" applyNumberFormat="1"/>
    <xf numFmtId="0" fontId="2" fillId="0" borderId="0" xfId="0" applyFont="1"/>
    <xf numFmtId="0" fontId="0" fillId="0" borderId="15" xfId="0" applyBorder="1"/>
    <xf numFmtId="0" fontId="0" fillId="0" borderId="3" xfId="0" applyBorder="1" applyAlignment="1">
      <alignment horizontal="right"/>
    </xf>
    <xf numFmtId="2" fontId="0" fillId="7" borderId="3" xfId="0" applyNumberFormat="1" applyFill="1" applyBorder="1"/>
    <xf numFmtId="0" fontId="0" fillId="8" borderId="3" xfId="0" applyFill="1" applyBorder="1"/>
    <xf numFmtId="2" fontId="0" fillId="0" borderId="0" xfId="0" applyNumberFormat="1"/>
    <xf numFmtId="164" fontId="0" fillId="0" borderId="0" xfId="0" applyNumberFormat="1"/>
    <xf numFmtId="0" fontId="0" fillId="0" borderId="19" xfId="0" applyBorder="1"/>
    <xf numFmtId="0" fontId="0" fillId="0" borderId="21" xfId="0" applyBorder="1"/>
    <xf numFmtId="0" fontId="0" fillId="0" borderId="22" xfId="0" applyBorder="1"/>
    <xf numFmtId="0" fontId="0" fillId="0" borderId="18" xfId="0" applyBorder="1" applyAlignment="1">
      <alignment wrapText="1"/>
    </xf>
    <xf numFmtId="0" fontId="0" fillId="0" borderId="23" xfId="0" applyBorder="1"/>
    <xf numFmtId="2" fontId="0" fillId="0" borderId="21" xfId="0" applyNumberFormat="1" applyBorder="1"/>
    <xf numFmtId="0" fontId="3" fillId="0" borderId="0" xfId="0" applyFont="1"/>
    <xf numFmtId="0" fontId="3" fillId="0" borderId="0" xfId="0" applyFont="1" applyAlignment="1">
      <alignment wrapText="1"/>
    </xf>
    <xf numFmtId="0" fontId="0" fillId="9" borderId="0" xfId="0" applyFill="1"/>
    <xf numFmtId="0" fontId="0" fillId="9" borderId="0" xfId="0" applyFill="1" applyAlignment="1">
      <alignment wrapText="1"/>
    </xf>
    <xf numFmtId="0" fontId="7" fillId="9" borderId="0" xfId="2" applyFill="1"/>
    <xf numFmtId="0" fontId="15" fillId="9" borderId="0" xfId="0" applyFont="1" applyFill="1" applyAlignment="1">
      <alignment wrapText="1"/>
    </xf>
    <xf numFmtId="0" fontId="17" fillId="11" borderId="6" xfId="0" applyFont="1" applyFill="1" applyBorder="1" applyAlignment="1">
      <alignment horizontal="left" indent="1"/>
    </xf>
    <xf numFmtId="0" fontId="16" fillId="11" borderId="4" xfId="0" applyFont="1" applyFill="1" applyBorder="1" applyAlignment="1">
      <alignment horizontal="left" indent="1"/>
    </xf>
    <xf numFmtId="0" fontId="16" fillId="11" borderId="6" xfId="0" applyFont="1" applyFill="1" applyBorder="1" applyAlignment="1">
      <alignment horizontal="left" indent="1"/>
    </xf>
    <xf numFmtId="0" fontId="17" fillId="11" borderId="8" xfId="0" applyFont="1" applyFill="1" applyBorder="1" applyAlignment="1">
      <alignment horizontal="left" indent="1"/>
    </xf>
    <xf numFmtId="0" fontId="19" fillId="9" borderId="39" xfId="0" applyFont="1" applyFill="1" applyBorder="1"/>
    <xf numFmtId="0" fontId="21" fillId="11" borderId="36" xfId="0" applyFont="1" applyFill="1" applyBorder="1" applyAlignment="1">
      <alignment horizontal="left" indent="1"/>
    </xf>
    <xf numFmtId="0" fontId="21" fillId="11" borderId="39" xfId="0" applyFont="1" applyFill="1" applyBorder="1" applyAlignment="1">
      <alignment horizontal="left" indent="1"/>
    </xf>
    <xf numFmtId="0" fontId="21" fillId="11" borderId="31" xfId="0" applyFont="1" applyFill="1" applyBorder="1" applyAlignment="1">
      <alignment horizontal="left" indent="1"/>
    </xf>
    <xf numFmtId="3" fontId="2" fillId="13" borderId="17" xfId="0" applyNumberFormat="1" applyFont="1" applyFill="1" applyBorder="1"/>
    <xf numFmtId="0" fontId="0" fillId="0" borderId="2" xfId="0" applyBorder="1" applyAlignment="1">
      <alignment horizontal="left" indent="1"/>
    </xf>
    <xf numFmtId="0" fontId="23" fillId="10" borderId="0" xfId="0" applyFont="1" applyFill="1"/>
    <xf numFmtId="164" fontId="0" fillId="0" borderId="3" xfId="0" applyNumberFormat="1" applyBorder="1"/>
    <xf numFmtId="1" fontId="0" fillId="19" borderId="3" xfId="0" applyNumberFormat="1" applyFill="1" applyBorder="1"/>
    <xf numFmtId="3" fontId="15" fillId="6" borderId="3" xfId="0" applyNumberFormat="1" applyFont="1" applyFill="1" applyBorder="1" applyAlignment="1">
      <alignment horizontal="center"/>
    </xf>
    <xf numFmtId="0" fontId="0" fillId="6" borderId="3" xfId="0" applyFill="1" applyBorder="1"/>
    <xf numFmtId="0" fontId="0" fillId="13" borderId="3" xfId="0" applyFill="1" applyBorder="1"/>
    <xf numFmtId="0" fontId="2" fillId="13" borderId="3" xfId="0" applyFont="1" applyFill="1" applyBorder="1"/>
    <xf numFmtId="2" fontId="2" fillId="13" borderId="3" xfId="0" applyNumberFormat="1" applyFont="1" applyFill="1" applyBorder="1"/>
    <xf numFmtId="1" fontId="2" fillId="13" borderId="3" xfId="0" applyNumberFormat="1" applyFont="1" applyFill="1" applyBorder="1"/>
    <xf numFmtId="3" fontId="2" fillId="13" borderId="3" xfId="0" applyNumberFormat="1" applyFont="1" applyFill="1" applyBorder="1"/>
    <xf numFmtId="4" fontId="2" fillId="13" borderId="3" xfId="0" applyNumberFormat="1" applyFont="1" applyFill="1" applyBorder="1"/>
    <xf numFmtId="0" fontId="2" fillId="13" borderId="3" xfId="0" applyFont="1" applyFill="1" applyBorder="1" applyAlignment="1">
      <alignment wrapText="1"/>
    </xf>
    <xf numFmtId="0" fontId="2" fillId="13" borderId="3" xfId="0" applyFont="1" applyFill="1" applyBorder="1" applyAlignment="1">
      <alignment horizontal="right"/>
    </xf>
    <xf numFmtId="0" fontId="0" fillId="13" borderId="3" xfId="0" applyFill="1" applyBorder="1" applyAlignment="1">
      <alignment horizontal="center"/>
    </xf>
    <xf numFmtId="2" fontId="2" fillId="7" borderId="3" xfId="0" applyNumberFormat="1" applyFont="1" applyFill="1" applyBorder="1"/>
    <xf numFmtId="2" fontId="2" fillId="7" borderId="3" xfId="0" applyNumberFormat="1" applyFont="1" applyFill="1" applyBorder="1" applyAlignment="1">
      <alignment horizontal="right"/>
    </xf>
    <xf numFmtId="1" fontId="2" fillId="7" borderId="3" xfId="0" applyNumberFormat="1" applyFont="1" applyFill="1" applyBorder="1"/>
    <xf numFmtId="0" fontId="2" fillId="4" borderId="3" xfId="0" applyFont="1" applyFill="1" applyBorder="1"/>
    <xf numFmtId="166" fontId="0" fillId="7" borderId="3" xfId="0" applyNumberFormat="1" applyFill="1" applyBorder="1"/>
    <xf numFmtId="0" fontId="21" fillId="11" borderId="12" xfId="0" applyFont="1" applyFill="1" applyBorder="1" applyAlignment="1">
      <alignment horizontal="left" indent="1"/>
    </xf>
    <xf numFmtId="0" fontId="20" fillId="11" borderId="41" xfId="0" applyFont="1" applyFill="1" applyBorder="1" applyAlignment="1">
      <alignment horizontal="left" indent="1"/>
    </xf>
    <xf numFmtId="3" fontId="0" fillId="6" borderId="3" xfId="0" applyNumberFormat="1" applyFill="1" applyBorder="1"/>
    <xf numFmtId="0" fontId="22" fillId="0" borderId="15" xfId="0" applyFont="1" applyBorder="1" applyAlignment="1">
      <alignment horizontal="left"/>
    </xf>
    <xf numFmtId="0" fontId="22" fillId="0" borderId="17" xfId="0" applyFont="1" applyBorder="1" applyAlignment="1">
      <alignment horizontal="left"/>
    </xf>
    <xf numFmtId="14" fontId="2" fillId="13" borderId="17" xfId="0" applyNumberFormat="1" applyFont="1" applyFill="1" applyBorder="1"/>
    <xf numFmtId="0" fontId="0" fillId="0" borderId="2" xfId="0" quotePrefix="1" applyBorder="1"/>
    <xf numFmtId="3" fontId="2" fillId="7" borderId="17" xfId="0" applyNumberFormat="1" applyFont="1" applyFill="1" applyBorder="1"/>
    <xf numFmtId="3" fontId="0" fillId="3" borderId="3" xfId="0" applyNumberFormat="1" applyFill="1" applyBorder="1"/>
    <xf numFmtId="3" fontId="2" fillId="13" borderId="23" xfId="0" applyNumberFormat="1" applyFont="1" applyFill="1" applyBorder="1"/>
    <xf numFmtId="0" fontId="22" fillId="0" borderId="42" xfId="0" applyFont="1" applyBorder="1" applyAlignment="1">
      <alignment horizontal="left"/>
    </xf>
    <xf numFmtId="165" fontId="2" fillId="7" borderId="3" xfId="0" applyNumberFormat="1" applyFont="1" applyFill="1" applyBorder="1"/>
    <xf numFmtId="0" fontId="0" fillId="0" borderId="3" xfId="0" applyBorder="1" applyAlignment="1">
      <alignment horizontal="left" indent="1"/>
    </xf>
    <xf numFmtId="0" fontId="0" fillId="4" borderId="2" xfId="0" applyFill="1" applyBorder="1"/>
    <xf numFmtId="2" fontId="0" fillId="4" borderId="2" xfId="0" applyNumberFormat="1" applyFill="1" applyBorder="1"/>
    <xf numFmtId="0" fontId="22" fillId="0" borderId="3" xfId="0" applyFont="1" applyBorder="1" applyAlignment="1">
      <alignment horizontal="left"/>
    </xf>
    <xf numFmtId="3" fontId="0" fillId="0" borderId="3" xfId="0" applyNumberFormat="1" applyBorder="1"/>
    <xf numFmtId="0" fontId="0" fillId="11" borderId="0" xfId="0" applyFill="1"/>
    <xf numFmtId="0" fontId="3" fillId="12" borderId="43" xfId="0" applyFont="1" applyFill="1" applyBorder="1"/>
    <xf numFmtId="0" fontId="3" fillId="12" borderId="44" xfId="0" applyFont="1" applyFill="1" applyBorder="1"/>
    <xf numFmtId="0" fontId="0" fillId="11" borderId="26" xfId="0" applyFill="1" applyBorder="1"/>
    <xf numFmtId="0" fontId="22" fillId="0" borderId="31" xfId="0" applyFont="1" applyBorder="1" applyAlignment="1">
      <alignment horizontal="left"/>
    </xf>
    <xf numFmtId="0" fontId="0" fillId="11" borderId="28" xfId="0" applyFill="1" applyBorder="1"/>
    <xf numFmtId="0" fontId="0" fillId="0" borderId="4" xfId="0" applyBorder="1" applyAlignment="1">
      <alignment horizontal="left" indent="1"/>
    </xf>
    <xf numFmtId="0" fontId="0" fillId="0" borderId="6" xfId="0" applyBorder="1" applyAlignment="1">
      <alignment horizontal="left" indent="1"/>
    </xf>
    <xf numFmtId="0" fontId="22" fillId="0" borderId="40" xfId="0" applyFont="1" applyBorder="1" applyAlignment="1">
      <alignment horizontal="left"/>
    </xf>
    <xf numFmtId="0" fontId="0" fillId="11" borderId="31" xfId="0" applyFill="1" applyBorder="1" applyAlignment="1">
      <alignment horizontal="left" indent="1"/>
    </xf>
    <xf numFmtId="0" fontId="2" fillId="13" borderId="7" xfId="0" applyFont="1" applyFill="1" applyBorder="1"/>
    <xf numFmtId="0" fontId="0" fillId="0" borderId="8" xfId="0" applyBorder="1" applyAlignment="1">
      <alignment horizontal="left" indent="1"/>
    </xf>
    <xf numFmtId="0" fontId="0" fillId="13" borderId="1" xfId="0" applyFill="1" applyBorder="1" applyAlignment="1">
      <alignment horizontal="center"/>
    </xf>
    <xf numFmtId="0" fontId="0" fillId="11" borderId="25" xfId="0" applyFill="1" applyBorder="1"/>
    <xf numFmtId="0" fontId="0" fillId="11" borderId="29" xfId="0" applyFill="1" applyBorder="1"/>
    <xf numFmtId="0" fontId="22" fillId="11" borderId="31" xfId="0" applyFont="1" applyFill="1" applyBorder="1" applyAlignment="1">
      <alignment horizontal="left"/>
    </xf>
    <xf numFmtId="0" fontId="22" fillId="11" borderId="17" xfId="0" applyFont="1" applyFill="1" applyBorder="1" applyAlignment="1">
      <alignment horizontal="left"/>
    </xf>
    <xf numFmtId="0" fontId="3" fillId="11" borderId="4" xfId="0" applyFont="1" applyFill="1" applyBorder="1" applyAlignment="1">
      <alignment horizontal="left"/>
    </xf>
    <xf numFmtId="0" fontId="3" fillId="11" borderId="23" xfId="0" applyFont="1" applyFill="1" applyBorder="1" applyAlignment="1">
      <alignment horizontal="left"/>
    </xf>
    <xf numFmtId="0" fontId="3" fillId="11" borderId="15" xfId="0" applyFont="1" applyFill="1" applyBorder="1" applyAlignment="1">
      <alignment horizontal="left"/>
    </xf>
    <xf numFmtId="0" fontId="3" fillId="11" borderId="24" xfId="0" applyFont="1" applyFill="1" applyBorder="1"/>
    <xf numFmtId="0" fontId="3" fillId="11" borderId="38" xfId="0" applyFont="1" applyFill="1" applyBorder="1"/>
    <xf numFmtId="0" fontId="3" fillId="11" borderId="45" xfId="0" applyFont="1" applyFill="1" applyBorder="1"/>
    <xf numFmtId="0" fontId="22" fillId="0" borderId="15" xfId="0" applyFont="1" applyBorder="1"/>
    <xf numFmtId="0" fontId="3" fillId="12" borderId="33" xfId="0" applyFont="1" applyFill="1" applyBorder="1"/>
    <xf numFmtId="0" fontId="3" fillId="12" borderId="34" xfId="0" applyFont="1" applyFill="1" applyBorder="1"/>
    <xf numFmtId="0" fontId="0" fillId="11" borderId="0" xfId="0" applyFill="1" applyAlignment="1">
      <alignment horizontal="left" indent="1"/>
    </xf>
    <xf numFmtId="0" fontId="0" fillId="11" borderId="0" xfId="0" quotePrefix="1" applyFill="1"/>
    <xf numFmtId="0" fontId="3" fillId="12" borderId="26" xfId="0" applyFont="1" applyFill="1" applyBorder="1" applyAlignment="1">
      <alignment horizontal="center"/>
    </xf>
    <xf numFmtId="0" fontId="0" fillId="0" borderId="30" xfId="0" applyBorder="1" applyAlignment="1">
      <alignment horizontal="left" indent="1"/>
    </xf>
    <xf numFmtId="0" fontId="0" fillId="11" borderId="48" xfId="0" applyFill="1" applyBorder="1" applyAlignment="1">
      <alignment horizontal="center"/>
    </xf>
    <xf numFmtId="0" fontId="0" fillId="11" borderId="32" xfId="0" applyFill="1" applyBorder="1" applyAlignment="1">
      <alignment horizontal="center"/>
    </xf>
    <xf numFmtId="0" fontId="0" fillId="0" borderId="7" xfId="0" applyBorder="1"/>
    <xf numFmtId="0" fontId="0" fillId="0" borderId="1" xfId="0" applyBorder="1"/>
    <xf numFmtId="0" fontId="0" fillId="11" borderId="20" xfId="0" applyFill="1" applyBorder="1" applyAlignment="1">
      <alignment horizontal="center"/>
    </xf>
    <xf numFmtId="0" fontId="0" fillId="11" borderId="38" xfId="0" applyFill="1" applyBorder="1" applyAlignment="1">
      <alignment horizontal="center"/>
    </xf>
    <xf numFmtId="0" fontId="3" fillId="12" borderId="49" xfId="0" applyFont="1" applyFill="1" applyBorder="1" applyAlignment="1">
      <alignment horizontal="center"/>
    </xf>
    <xf numFmtId="0" fontId="0" fillId="11" borderId="47" xfId="0" applyFill="1" applyBorder="1" applyAlignment="1">
      <alignment horizontal="center"/>
    </xf>
    <xf numFmtId="0" fontId="20" fillId="16" borderId="40" xfId="0" applyFont="1" applyFill="1" applyBorder="1" applyAlignment="1">
      <alignment horizontal="center"/>
    </xf>
    <xf numFmtId="2" fontId="2" fillId="3" borderId="3" xfId="0" applyNumberFormat="1" applyFont="1" applyFill="1" applyBorder="1" applyAlignment="1">
      <alignment horizontal="center"/>
    </xf>
    <xf numFmtId="0" fontId="3" fillId="12" borderId="46" xfId="0" applyFont="1" applyFill="1" applyBorder="1"/>
    <xf numFmtId="0" fontId="22" fillId="0" borderId="7" xfId="0" applyFont="1" applyBorder="1" applyAlignment="1">
      <alignment horizontal="left"/>
    </xf>
    <xf numFmtId="2" fontId="0" fillId="4" borderId="5" xfId="0" applyNumberFormat="1" applyFill="1" applyBorder="1"/>
    <xf numFmtId="2" fontId="0" fillId="4" borderId="7" xfId="0" applyNumberFormat="1" applyFill="1" applyBorder="1"/>
    <xf numFmtId="0" fontId="3" fillId="0" borderId="3" xfId="0" applyFont="1" applyBorder="1"/>
    <xf numFmtId="14" fontId="0" fillId="11" borderId="0" xfId="0" applyNumberFormat="1" applyFill="1"/>
    <xf numFmtId="0" fontId="0" fillId="11" borderId="41" xfId="0" applyFill="1" applyBorder="1"/>
    <xf numFmtId="0" fontId="16" fillId="0" borderId="4" xfId="0" applyFont="1" applyBorder="1"/>
    <xf numFmtId="0" fontId="16" fillId="0" borderId="5" xfId="0" applyFont="1" applyBorder="1"/>
    <xf numFmtId="0" fontId="17" fillId="11" borderId="7" xfId="0" applyFont="1" applyFill="1" applyBorder="1" applyAlignment="1">
      <alignment horizontal="left" indent="1"/>
    </xf>
    <xf numFmtId="0" fontId="16" fillId="11" borderId="5" xfId="0" applyFont="1" applyFill="1" applyBorder="1" applyAlignment="1">
      <alignment horizontal="left" indent="1"/>
    </xf>
    <xf numFmtId="0" fontId="17" fillId="11" borderId="4" xfId="0" applyFont="1" applyFill="1" applyBorder="1" applyAlignment="1">
      <alignment horizontal="left" indent="1"/>
    </xf>
    <xf numFmtId="0" fontId="17" fillId="11" borderId="5" xfId="0" applyFont="1" applyFill="1" applyBorder="1" applyAlignment="1">
      <alignment horizontal="left" indent="1"/>
    </xf>
    <xf numFmtId="0" fontId="27" fillId="11" borderId="6" xfId="0" applyFont="1" applyFill="1" applyBorder="1" applyAlignment="1">
      <alignment horizontal="left"/>
    </xf>
    <xf numFmtId="164" fontId="0" fillId="21" borderId="3" xfId="0" applyNumberFormat="1" applyFill="1" applyBorder="1"/>
    <xf numFmtId="2" fontId="0" fillId="21" borderId="3" xfId="0" applyNumberFormat="1" applyFill="1" applyBorder="1"/>
    <xf numFmtId="1" fontId="0" fillId="21" borderId="3" xfId="0" applyNumberFormat="1" applyFill="1" applyBorder="1"/>
    <xf numFmtId="2" fontId="0" fillId="21" borderId="3" xfId="0" applyNumberFormat="1" applyFill="1" applyBorder="1" applyAlignment="1">
      <alignment wrapText="1"/>
    </xf>
    <xf numFmtId="3" fontId="0" fillId="0" borderId="0" xfId="0" applyNumberFormat="1"/>
    <xf numFmtId="165" fontId="0" fillId="21" borderId="3" xfId="0" applyNumberFormat="1" applyFill="1" applyBorder="1"/>
    <xf numFmtId="3" fontId="0" fillId="18" borderId="3" xfId="0" applyNumberFormat="1" applyFill="1" applyBorder="1"/>
    <xf numFmtId="1" fontId="0" fillId="7" borderId="3" xfId="0" applyNumberFormat="1" applyFill="1" applyBorder="1"/>
    <xf numFmtId="0" fontId="0" fillId="22" borderId="3" xfId="0" applyFill="1" applyBorder="1"/>
    <xf numFmtId="1" fontId="0" fillId="11" borderId="0" xfId="0" applyNumberFormat="1" applyFill="1"/>
    <xf numFmtId="4" fontId="0" fillId="0" borderId="0" xfId="0" applyNumberFormat="1"/>
    <xf numFmtId="2" fontId="0" fillId="22" borderId="3" xfId="0" applyNumberFormat="1" applyFill="1" applyBorder="1"/>
    <xf numFmtId="164" fontId="0" fillId="22" borderId="3" xfId="0" applyNumberFormat="1" applyFill="1" applyBorder="1"/>
    <xf numFmtId="1" fontId="0" fillId="22" borderId="3" xfId="0" applyNumberFormat="1" applyFill="1" applyBorder="1"/>
    <xf numFmtId="2" fontId="0" fillId="5" borderId="11" xfId="1" applyNumberFormat="1" applyFont="1" applyFill="1" applyBorder="1"/>
    <xf numFmtId="0" fontId="2" fillId="11" borderId="0" xfId="0" applyFont="1" applyFill="1" applyAlignment="1">
      <alignment horizontal="center"/>
    </xf>
    <xf numFmtId="0" fontId="2" fillId="11" borderId="0" xfId="0" applyFont="1" applyFill="1"/>
    <xf numFmtId="0" fontId="0" fillId="11" borderId="52" xfId="0" applyFill="1" applyBorder="1"/>
    <xf numFmtId="0" fontId="0" fillId="0" borderId="53" xfId="0" applyBorder="1"/>
    <xf numFmtId="0" fontId="0" fillId="11" borderId="27" xfId="0" applyFill="1" applyBorder="1"/>
    <xf numFmtId="0" fontId="0" fillId="0" borderId="51" xfId="0" applyBorder="1"/>
    <xf numFmtId="0" fontId="0" fillId="0" borderId="28" xfId="0" applyBorder="1"/>
    <xf numFmtId="49" fontId="0" fillId="0" borderId="7" xfId="0" applyNumberFormat="1" applyBorder="1"/>
    <xf numFmtId="0" fontId="0" fillId="11" borderId="54" xfId="0" applyFill="1" applyBorder="1"/>
    <xf numFmtId="0" fontId="0" fillId="0" borderId="1" xfId="0" quotePrefix="1" applyBorder="1"/>
    <xf numFmtId="0" fontId="3" fillId="12" borderId="55" xfId="0" applyFont="1" applyFill="1" applyBorder="1" applyAlignment="1">
      <alignment horizontal="center"/>
    </xf>
    <xf numFmtId="2" fontId="0" fillId="0" borderId="3" xfId="0" applyNumberFormat="1" applyBorder="1"/>
    <xf numFmtId="0" fontId="2" fillId="0" borderId="4" xfId="0" applyFont="1" applyBorder="1" applyAlignment="1">
      <alignment horizontal="center"/>
    </xf>
    <xf numFmtId="0" fontId="0" fillId="0" borderId="8" xfId="0" applyBorder="1"/>
    <xf numFmtId="0" fontId="0" fillId="0" borderId="56" xfId="0" applyBorder="1"/>
    <xf numFmtId="1" fontId="2" fillId="11" borderId="0" xfId="0" applyNumberFormat="1" applyFont="1" applyFill="1"/>
    <xf numFmtId="0" fontId="0" fillId="11" borderId="3" xfId="0" applyFill="1" applyBorder="1"/>
    <xf numFmtId="0" fontId="2" fillId="11" borderId="3" xfId="0" applyFont="1" applyFill="1" applyBorder="1"/>
    <xf numFmtId="3" fontId="21" fillId="15" borderId="37" xfId="0" applyNumberFormat="1" applyFont="1" applyFill="1" applyBorder="1"/>
    <xf numFmtId="3" fontId="21" fillId="15" borderId="40" xfId="0" applyNumberFormat="1" applyFont="1" applyFill="1" applyBorder="1"/>
    <xf numFmtId="3" fontId="21" fillId="16" borderId="14" xfId="0" applyNumberFormat="1" applyFont="1" applyFill="1" applyBorder="1"/>
    <xf numFmtId="4" fontId="21" fillId="16" borderId="29" xfId="0" applyNumberFormat="1" applyFont="1" applyFill="1" applyBorder="1"/>
    <xf numFmtId="4" fontId="21" fillId="20" borderId="29" xfId="0" applyNumberFormat="1" applyFont="1" applyFill="1" applyBorder="1"/>
    <xf numFmtId="0" fontId="2" fillId="9" borderId="0" xfId="0" applyFont="1" applyFill="1" applyAlignment="1">
      <alignment wrapText="1"/>
    </xf>
    <xf numFmtId="0" fontId="15" fillId="0" borderId="0" xfId="0" applyFont="1" applyAlignment="1">
      <alignment wrapText="1"/>
    </xf>
    <xf numFmtId="0" fontId="14" fillId="9" borderId="0" xfId="0" applyFont="1" applyFill="1" applyAlignment="1">
      <alignment wrapText="1"/>
    </xf>
    <xf numFmtId="0" fontId="9" fillId="10" borderId="57" xfId="3" applyFont="1" applyFill="1" applyBorder="1"/>
    <xf numFmtId="0" fontId="10" fillId="10" borderId="58" xfId="3" applyFont="1" applyFill="1" applyBorder="1"/>
    <xf numFmtId="0" fontId="11" fillId="10" borderId="58" xfId="3" applyFont="1" applyFill="1" applyBorder="1"/>
    <xf numFmtId="0" fontId="11" fillId="10" borderId="58" xfId="3" applyFont="1" applyFill="1" applyBorder="1" applyAlignment="1">
      <alignment wrapText="1"/>
    </xf>
    <xf numFmtId="0" fontId="12" fillId="10" borderId="58" xfId="3" applyFont="1" applyFill="1" applyBorder="1" applyAlignment="1">
      <alignment wrapText="1"/>
    </xf>
    <xf numFmtId="0" fontId="13" fillId="10" borderId="58" xfId="3" applyFont="1" applyFill="1" applyBorder="1" applyAlignment="1">
      <alignment horizontal="right"/>
    </xf>
    <xf numFmtId="0" fontId="11" fillId="10" borderId="59" xfId="3" applyFont="1" applyFill="1" applyBorder="1" applyAlignment="1">
      <alignment wrapText="1"/>
    </xf>
    <xf numFmtId="3" fontId="2" fillId="7" borderId="1" xfId="0" applyNumberFormat="1" applyFont="1" applyFill="1" applyBorder="1"/>
    <xf numFmtId="0" fontId="17" fillId="11" borderId="9" xfId="0" applyFont="1" applyFill="1" applyBorder="1" applyAlignment="1">
      <alignment horizontal="left" indent="1"/>
    </xf>
    <xf numFmtId="0" fontId="16" fillId="0" borderId="12" xfId="0" applyFont="1" applyBorder="1" applyAlignment="1"/>
    <xf numFmtId="0" fontId="16" fillId="0" borderId="14" xfId="0" applyFont="1" applyBorder="1" applyAlignment="1"/>
    <xf numFmtId="0" fontId="18" fillId="14" borderId="33" xfId="0" applyFont="1" applyFill="1" applyBorder="1" applyAlignment="1">
      <alignment vertical="center"/>
    </xf>
    <xf numFmtId="0" fontId="18" fillId="14" borderId="35" xfId="0" applyFont="1" applyFill="1" applyBorder="1" applyAlignment="1">
      <alignment vertical="center"/>
    </xf>
    <xf numFmtId="0" fontId="22" fillId="0" borderId="31" xfId="0" applyFont="1" applyBorder="1" applyAlignment="1">
      <alignment horizontal="left"/>
    </xf>
    <xf numFmtId="0" fontId="22" fillId="0" borderId="16" xfId="0" applyFont="1" applyBorder="1" applyAlignment="1">
      <alignment horizontal="left"/>
    </xf>
    <xf numFmtId="0" fontId="22" fillId="0" borderId="17" xfId="0" applyFont="1" applyBorder="1" applyAlignment="1">
      <alignment horizontal="left"/>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3" fillId="12" borderId="50" xfId="0" applyFont="1" applyFill="1" applyBorder="1" applyAlignment="1">
      <alignment horizontal="left"/>
    </xf>
    <xf numFmtId="0" fontId="3" fillId="12" borderId="34" xfId="0" applyFont="1" applyFill="1" applyBorder="1" applyAlignment="1">
      <alignment horizontal="left"/>
    </xf>
    <xf numFmtId="0" fontId="3" fillId="12" borderId="35" xfId="0" applyFont="1" applyFill="1" applyBorder="1" applyAlignment="1">
      <alignment horizontal="left"/>
    </xf>
    <xf numFmtId="0" fontId="2" fillId="0" borderId="0" xfId="0" applyFont="1" applyAlignment="1">
      <alignment horizontal="left"/>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2" fillId="0" borderId="18"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0" fillId="19" borderId="3" xfId="0" applyFill="1" applyBorder="1" applyAlignment="1">
      <alignment horizontal="center"/>
    </xf>
    <xf numFmtId="0" fontId="0" fillId="18" borderId="18" xfId="0" applyFill="1" applyBorder="1" applyAlignment="1">
      <alignment horizontal="center"/>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6" fillId="17" borderId="0" xfId="0" applyFont="1" applyFill="1" applyAlignment="1">
      <alignment horizontal="center" vertical="center" wrapText="1"/>
    </xf>
    <xf numFmtId="0" fontId="0" fillId="23" borderId="15" xfId="0" applyFill="1" applyBorder="1" applyAlignment="1">
      <alignment horizontal="center"/>
    </xf>
    <xf numFmtId="0" fontId="0" fillId="23" borderId="16" xfId="0" applyFill="1" applyBorder="1" applyAlignment="1">
      <alignment horizontal="center"/>
    </xf>
    <xf numFmtId="0" fontId="0" fillId="23" borderId="17" xfId="0" applyFill="1" applyBorder="1" applyAlignment="1">
      <alignment horizontal="center"/>
    </xf>
    <xf numFmtId="0" fontId="2" fillId="0" borderId="0" xfId="0" applyFont="1" applyAlignment="1">
      <alignment horizontal="center"/>
    </xf>
    <xf numFmtId="0" fontId="2" fillId="23" borderId="0" xfId="0" applyFont="1" applyFill="1" applyAlignment="1">
      <alignment horizontal="center"/>
    </xf>
    <xf numFmtId="0" fontId="2" fillId="15" borderId="0" xfId="0" applyFont="1" applyFill="1" applyAlignment="1">
      <alignment horizontal="center"/>
    </xf>
  </cellXfs>
  <cellStyles count="5">
    <cellStyle name="Hyperlink" xfId="2" builtinId="8"/>
    <cellStyle name="Normal" xfId="0" builtinId="0"/>
    <cellStyle name="Normal 2" xfId="4" xr:uid="{0040C75D-2866-472E-8FD1-E38B1AFEB3FE}"/>
    <cellStyle name="Normal 4" xfId="3" xr:uid="{99D3A88E-850D-4281-9202-B4BC6A33E0DF}"/>
    <cellStyle name="Percent" xfId="1" builtinId="5"/>
  </cellStyles>
  <dxfs count="0"/>
  <tableStyles count="0" defaultTableStyle="TableStyleMedium2" defaultPivotStyle="PivotStyleLight16"/>
  <colors>
    <mruColors>
      <color rgb="FFFBFED2"/>
      <color rgb="FFFF0066"/>
      <color rgb="FF75DDA4"/>
      <color rgb="FF33CD79"/>
      <color rgb="FFFF8989"/>
      <color rgb="FF8FE993"/>
      <color rgb="FFC9A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15232</xdr:colOff>
      <xdr:row>8</xdr:row>
      <xdr:rowOff>147734</xdr:rowOff>
    </xdr:from>
    <xdr:to>
      <xdr:col>1</xdr:col>
      <xdr:colOff>6744230</xdr:colOff>
      <xdr:row>28</xdr:row>
      <xdr:rowOff>38104</xdr:rowOff>
    </xdr:to>
    <xdr:pic>
      <xdr:nvPicPr>
        <xdr:cNvPr id="2" name="Picture 1" descr="Feedlot cattle at a feed bunk eating.">
          <a:extLst>
            <a:ext uri="{FF2B5EF4-FFF2-40B4-BE49-F238E27FC236}">
              <a16:creationId xmlns:a16="http://schemas.microsoft.com/office/drawing/2014/main" id="{6B32158F-171B-4604-BB61-C455CFCDDCC1}"/>
            </a:ext>
          </a:extLst>
        </xdr:cNvPr>
        <xdr:cNvPicPr>
          <a:picLocks noChangeAspect="1" noChangeArrowheads="1"/>
        </xdr:cNvPicPr>
      </xdr:nvPicPr>
      <xdr:blipFill rotWithShape="1">
        <a:blip xmlns:r="http://schemas.openxmlformats.org/officeDocument/2006/relationships" r:embed="rId1" cstate="print">
          <a:alphaModFix amt="70000"/>
          <a:extLst>
            <a:ext uri="{28A0092B-C50C-407E-A947-70E740481C1C}">
              <a14:useLocalDpi xmlns:a14="http://schemas.microsoft.com/office/drawing/2010/main" val="0"/>
            </a:ext>
          </a:extLst>
        </a:blip>
        <a:srcRect l="44923" t="7940" r="17127"/>
        <a:stretch/>
      </xdr:blipFill>
      <xdr:spPr bwMode="auto">
        <a:xfrm rot="5400000">
          <a:off x="2143379" y="411420"/>
          <a:ext cx="3700370" cy="6728998"/>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5598585</xdr:colOff>
      <xdr:row>1</xdr:row>
      <xdr:rowOff>46565</xdr:rowOff>
    </xdr:from>
    <xdr:to>
      <xdr:col>1</xdr:col>
      <xdr:colOff>6688668</xdr:colOff>
      <xdr:row>5</xdr:row>
      <xdr:rowOff>187213</xdr:rowOff>
    </xdr:to>
    <xdr:pic>
      <xdr:nvPicPr>
        <xdr:cNvPr id="4" name="Picture 3" descr="Logo of a green hoofprint with the words ksu x mah.">
          <a:extLst>
            <a:ext uri="{FF2B5EF4-FFF2-40B4-BE49-F238E27FC236}">
              <a16:creationId xmlns:a16="http://schemas.microsoft.com/office/drawing/2014/main" id="{F150C300-0401-162D-B48A-CEF6E727D5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12418" y="247648"/>
          <a:ext cx="1090083" cy="1082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511969</xdr:colOff>
      <xdr:row>22</xdr:row>
      <xdr:rowOff>238125</xdr:rowOff>
    </xdr:from>
    <xdr:to>
      <xdr:col>19</xdr:col>
      <xdr:colOff>392906</xdr:colOff>
      <xdr:row>49</xdr:row>
      <xdr:rowOff>27215</xdr:rowOff>
    </xdr:to>
    <xdr:sp macro="" textlink="">
      <xdr:nvSpPr>
        <xdr:cNvPr id="3" name="TextBox 2">
          <a:extLst>
            <a:ext uri="{FF2B5EF4-FFF2-40B4-BE49-F238E27FC236}">
              <a16:creationId xmlns:a16="http://schemas.microsoft.com/office/drawing/2014/main" id="{8A5466DB-50AC-879E-1438-2F28EF332154}"/>
            </a:ext>
          </a:extLst>
        </xdr:cNvPr>
        <xdr:cNvSpPr txBox="1"/>
      </xdr:nvSpPr>
      <xdr:spPr>
        <a:xfrm>
          <a:off x="13289076" y="6075589"/>
          <a:ext cx="9678080" cy="7136947"/>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800" b="1">
              <a:solidFill>
                <a:schemeClr val="dk1"/>
              </a:solidFill>
              <a:effectLst/>
              <a:latin typeface="+mn-lt"/>
              <a:ea typeface="+mn-ea"/>
              <a:cs typeface="+mn-cs"/>
            </a:rPr>
            <a:t>Functional Unit: </a:t>
          </a:r>
          <a:r>
            <a:rPr lang="en-US" sz="1800">
              <a:solidFill>
                <a:schemeClr val="dk1"/>
              </a:solidFill>
              <a:effectLst/>
              <a:latin typeface="+mn-lt"/>
              <a:ea typeface="+mn-ea"/>
              <a:cs typeface="+mn-cs"/>
            </a:rPr>
            <a:t>kg CO₂e per kg Final Body Weight (FBW) </a:t>
          </a:r>
          <a:r>
            <a:rPr lang="en-US" sz="1800" i="1">
              <a:solidFill>
                <a:schemeClr val="dk1"/>
              </a:solidFill>
              <a:effectLst/>
              <a:latin typeface="+mn-lt"/>
              <a:ea typeface="+mn-ea"/>
              <a:cs typeface="+mn-cs"/>
            </a:rPr>
            <a:t>(to assess emissions relative to feedlot cattle weight at exit)</a:t>
          </a:r>
          <a:endParaRPr lang="en-US" sz="1800">
            <a:solidFill>
              <a:schemeClr val="dk1"/>
            </a:solidFill>
            <a:effectLst/>
            <a:latin typeface="+mn-lt"/>
            <a:ea typeface="+mn-ea"/>
            <a:cs typeface="+mn-cs"/>
          </a:endParaRPr>
        </a:p>
        <a:p>
          <a:r>
            <a:rPr lang="en-US" sz="1800" b="1">
              <a:solidFill>
                <a:schemeClr val="dk1"/>
              </a:solidFill>
              <a:effectLst/>
              <a:latin typeface="+mn-lt"/>
              <a:ea typeface="+mn-ea"/>
              <a:cs typeface="+mn-cs"/>
            </a:rPr>
            <a:t>Included (Within Boundary):</a:t>
          </a:r>
          <a:endParaRPr lang="en-US" sz="1800">
            <a:solidFill>
              <a:schemeClr val="dk1"/>
            </a:solidFill>
            <a:effectLst/>
            <a:latin typeface="+mn-lt"/>
            <a:ea typeface="+mn-ea"/>
            <a:cs typeface="+mn-cs"/>
          </a:endParaRPr>
        </a:p>
        <a:p>
          <a:pPr marL="285750" lvl="0" indent="-285750">
            <a:buFont typeface="Arial" panose="020B0604020202020204" pitchFamily="34" charset="0"/>
            <a:buChar char="•"/>
          </a:pPr>
          <a:r>
            <a:rPr lang="en-US" sz="1800">
              <a:solidFill>
                <a:schemeClr val="dk1"/>
              </a:solidFill>
              <a:effectLst/>
              <a:latin typeface="+mn-lt"/>
              <a:ea typeface="+mn-ea"/>
              <a:cs typeface="+mn-cs"/>
            </a:rPr>
            <a:t>Feedlot Cattle Emissions</a:t>
          </a:r>
        </a:p>
        <a:p>
          <a:pPr marL="742950" lvl="1" indent="-285750">
            <a:buFont typeface="Arial" panose="020B0604020202020204" pitchFamily="34" charset="0"/>
            <a:buChar char="•"/>
          </a:pPr>
          <a:r>
            <a:rPr lang="en-US" sz="1800">
              <a:solidFill>
                <a:schemeClr val="dk1"/>
              </a:solidFill>
              <a:effectLst/>
              <a:latin typeface="+mn-lt"/>
              <a:ea typeface="+mn-ea"/>
              <a:cs typeface="+mn-cs"/>
            </a:rPr>
            <a:t>Enteric methane (CH₄) from ruminal fermentation</a:t>
          </a:r>
        </a:p>
        <a:p>
          <a:pPr marL="285750" lvl="0" indent="-285750">
            <a:buFont typeface="Arial" panose="020B0604020202020204" pitchFamily="34" charset="0"/>
            <a:buChar char="•"/>
          </a:pPr>
          <a:r>
            <a:rPr lang="en-US" sz="1800">
              <a:solidFill>
                <a:schemeClr val="dk1"/>
              </a:solidFill>
              <a:effectLst/>
              <a:latin typeface="+mn-lt"/>
              <a:ea typeface="+mn-ea"/>
              <a:cs typeface="+mn-cs"/>
            </a:rPr>
            <a:t>Manure Management Emissions</a:t>
          </a:r>
        </a:p>
        <a:p>
          <a:pPr marL="742950" lvl="1" indent="-285750">
            <a:buFont typeface="Arial" panose="020B0604020202020204" pitchFamily="34" charset="0"/>
            <a:buChar char="•"/>
          </a:pPr>
          <a:r>
            <a:rPr lang="en-US" sz="1800">
              <a:solidFill>
                <a:schemeClr val="dk1"/>
              </a:solidFill>
              <a:effectLst/>
              <a:latin typeface="+mn-lt"/>
              <a:ea typeface="+mn-ea"/>
              <a:cs typeface="+mn-cs"/>
            </a:rPr>
            <a:t>Nitrous oxide (N₂O) from manure storage and handling.</a:t>
          </a:r>
        </a:p>
        <a:p>
          <a:pPr marL="742950" lvl="1" indent="-285750">
            <a:buFont typeface="Arial" panose="020B0604020202020204" pitchFamily="34" charset="0"/>
            <a:buChar char="•"/>
          </a:pPr>
          <a:r>
            <a:rPr lang="en-US" sz="1800">
              <a:solidFill>
                <a:schemeClr val="dk1"/>
              </a:solidFill>
              <a:effectLst/>
              <a:latin typeface="+mn-lt"/>
              <a:ea typeface="+mn-ea"/>
              <a:cs typeface="+mn-cs"/>
            </a:rPr>
            <a:t>Methane (CH₄) from anaerobic decomposition of manure.</a:t>
          </a:r>
        </a:p>
        <a:p>
          <a:pPr marL="742950" lvl="1" indent="-285750">
            <a:buFont typeface="Arial" panose="020B0604020202020204" pitchFamily="34" charset="0"/>
            <a:buChar char="•"/>
          </a:pPr>
          <a:r>
            <a:rPr lang="en-US" sz="1800">
              <a:solidFill>
                <a:schemeClr val="dk1"/>
              </a:solidFill>
              <a:effectLst/>
              <a:latin typeface="+mn-lt"/>
              <a:ea typeface="+mn-ea"/>
              <a:cs typeface="+mn-cs"/>
            </a:rPr>
            <a:t>Ammonia (NH₃) from urine and feces (potential indirect N₂O emissions)</a:t>
          </a:r>
        </a:p>
        <a:p>
          <a:r>
            <a:rPr lang="en-US" sz="1800" b="1">
              <a:solidFill>
                <a:schemeClr val="dk1"/>
              </a:solidFill>
              <a:effectLst/>
              <a:latin typeface="+mn-lt"/>
              <a:ea typeface="+mn-ea"/>
              <a:cs typeface="+mn-cs"/>
            </a:rPr>
            <a:t>Excluded (Outside Boundary):</a:t>
          </a:r>
          <a:endParaRPr lang="en-US" sz="1800">
            <a:solidFill>
              <a:schemeClr val="dk1"/>
            </a:solidFill>
            <a:effectLst/>
            <a:latin typeface="+mn-lt"/>
            <a:ea typeface="+mn-ea"/>
            <a:cs typeface="+mn-cs"/>
          </a:endParaRPr>
        </a:p>
        <a:p>
          <a:pPr marL="285750" lvl="0" indent="-285750">
            <a:buFont typeface="Arial" panose="020B0604020202020204" pitchFamily="34" charset="0"/>
            <a:buChar char="•"/>
          </a:pPr>
          <a:r>
            <a:rPr lang="en-US" sz="1800">
              <a:solidFill>
                <a:schemeClr val="dk1"/>
              </a:solidFill>
              <a:effectLst/>
              <a:latin typeface="+mn-lt"/>
              <a:ea typeface="+mn-ea"/>
              <a:cs typeface="+mn-cs"/>
            </a:rPr>
            <a:t>Feed Production &amp; Transport</a:t>
          </a:r>
        </a:p>
        <a:p>
          <a:pPr marL="742950" lvl="1" indent="-285750">
            <a:buFont typeface="Arial" panose="020B0604020202020204" pitchFamily="34" charset="0"/>
            <a:buChar char="•"/>
          </a:pPr>
          <a:r>
            <a:rPr lang="en-US" sz="1800">
              <a:solidFill>
                <a:schemeClr val="dk1"/>
              </a:solidFill>
              <a:effectLst/>
              <a:latin typeface="+mn-lt"/>
              <a:ea typeface="+mn-ea"/>
              <a:cs typeface="+mn-cs"/>
            </a:rPr>
            <a:t>Excluded, as feed is purchased, and emissions from crop cultivation, fertilizer application, and land use change are not considered</a:t>
          </a:r>
        </a:p>
        <a:p>
          <a:pPr marL="285750" lvl="0" indent="-285750">
            <a:buFont typeface="Arial" panose="020B0604020202020204" pitchFamily="34" charset="0"/>
            <a:buChar char="•"/>
          </a:pPr>
          <a:r>
            <a:rPr lang="en-US" sz="1800">
              <a:solidFill>
                <a:schemeClr val="dk1"/>
              </a:solidFill>
              <a:effectLst/>
              <a:latin typeface="+mn-lt"/>
              <a:ea typeface="+mn-ea"/>
              <a:cs typeface="+mn-cs"/>
            </a:rPr>
            <a:t>Feedyard Energy Use (CO₂ Emissions)</a:t>
          </a:r>
        </a:p>
        <a:p>
          <a:pPr marL="742950" lvl="1" indent="-285750">
            <a:buFont typeface="Arial" panose="020B0604020202020204" pitchFamily="34" charset="0"/>
            <a:buChar char="•"/>
          </a:pPr>
          <a:r>
            <a:rPr lang="en-US" sz="1800">
              <a:solidFill>
                <a:schemeClr val="dk1"/>
              </a:solidFill>
              <a:effectLst/>
              <a:latin typeface="+mn-lt"/>
              <a:ea typeface="+mn-ea"/>
              <a:cs typeface="+mn-cs"/>
            </a:rPr>
            <a:t>Fuel use: trucks, tractors, feed mixing &amp; delivery, manure handling</a:t>
          </a:r>
        </a:p>
        <a:p>
          <a:pPr marL="742950" lvl="1" indent="-285750">
            <a:buFont typeface="Arial" panose="020B0604020202020204" pitchFamily="34" charset="0"/>
            <a:buChar char="•"/>
          </a:pPr>
          <a:r>
            <a:rPr lang="en-US" sz="1800">
              <a:solidFill>
                <a:schemeClr val="dk1"/>
              </a:solidFill>
              <a:effectLst/>
              <a:latin typeface="+mn-lt"/>
              <a:ea typeface="+mn-ea"/>
              <a:cs typeface="+mn-cs"/>
            </a:rPr>
            <a:t>Electricity &amp; natural gas for lighting, water pumps, and automated feeding systems</a:t>
          </a:r>
        </a:p>
        <a:p>
          <a:pPr marL="285750" lvl="0" indent="-285750">
            <a:buFont typeface="Arial" panose="020B0604020202020204" pitchFamily="34" charset="0"/>
            <a:buChar char="•"/>
          </a:pPr>
          <a:r>
            <a:rPr lang="en-US" sz="1800">
              <a:solidFill>
                <a:schemeClr val="dk1"/>
              </a:solidFill>
              <a:effectLst/>
              <a:latin typeface="+mn-lt"/>
              <a:ea typeface="+mn-ea"/>
              <a:cs typeface="+mn-cs"/>
            </a:rPr>
            <a:t>Capital Goods &amp; Infrastructure</a:t>
          </a:r>
        </a:p>
        <a:p>
          <a:pPr marL="742950" lvl="1" indent="-285750">
            <a:buFont typeface="Arial" panose="020B0604020202020204" pitchFamily="34" charset="0"/>
            <a:buChar char="•"/>
          </a:pPr>
          <a:r>
            <a:rPr lang="en-US" sz="1800">
              <a:solidFill>
                <a:schemeClr val="dk1"/>
              </a:solidFill>
              <a:effectLst/>
              <a:latin typeface="+mn-lt"/>
              <a:ea typeface="+mn-ea"/>
              <a:cs typeface="+mn-cs"/>
            </a:rPr>
            <a:t>Construction of barns, feed bunks, manure storage, or equipment</a:t>
          </a:r>
        </a:p>
        <a:p>
          <a:pPr marL="285750" lvl="0" indent="-285750">
            <a:buFont typeface="Arial" panose="020B0604020202020204" pitchFamily="34" charset="0"/>
            <a:buChar char="•"/>
          </a:pPr>
          <a:r>
            <a:rPr lang="en-US" sz="1800">
              <a:solidFill>
                <a:schemeClr val="dk1"/>
              </a:solidFill>
              <a:effectLst/>
              <a:latin typeface="+mn-lt"/>
              <a:ea typeface="+mn-ea"/>
              <a:cs typeface="+mn-cs"/>
            </a:rPr>
            <a:t>Cattle Backgrounding &amp; Procurement</a:t>
          </a:r>
        </a:p>
        <a:p>
          <a:pPr marL="742950" lvl="1" indent="-285750">
            <a:buFont typeface="Arial" panose="020B0604020202020204" pitchFamily="34" charset="0"/>
            <a:buChar char="•"/>
          </a:pPr>
          <a:r>
            <a:rPr lang="en-US" sz="1800">
              <a:solidFill>
                <a:schemeClr val="dk1"/>
              </a:solidFill>
              <a:effectLst/>
              <a:latin typeface="+mn-lt"/>
              <a:ea typeface="+mn-ea"/>
              <a:cs typeface="+mn-cs"/>
            </a:rPr>
            <a:t>No emissions from backgrounding, sale barns, or retained ownership before the feedlot phase</a:t>
          </a:r>
        </a:p>
        <a:p>
          <a:pPr marL="285750" lvl="0" indent="-285750">
            <a:buFont typeface="Arial" panose="020B0604020202020204" pitchFamily="34" charset="0"/>
            <a:buChar char="•"/>
          </a:pPr>
          <a:r>
            <a:rPr lang="en-US" sz="1800">
              <a:solidFill>
                <a:schemeClr val="dk1"/>
              </a:solidFill>
              <a:effectLst/>
              <a:latin typeface="+mn-lt"/>
              <a:ea typeface="+mn-ea"/>
              <a:cs typeface="+mn-cs"/>
            </a:rPr>
            <a:t>Transportation of Finished Cattle</a:t>
          </a:r>
        </a:p>
        <a:p>
          <a:pPr marL="742950" lvl="1" indent="-285750">
            <a:buFont typeface="Arial" panose="020B0604020202020204" pitchFamily="34" charset="0"/>
            <a:buChar char="•"/>
          </a:pPr>
          <a:r>
            <a:rPr lang="en-US" sz="1800">
              <a:solidFill>
                <a:schemeClr val="dk1"/>
              </a:solidFill>
              <a:effectLst/>
              <a:latin typeface="+mn-lt"/>
              <a:ea typeface="+mn-ea"/>
              <a:cs typeface="+mn-cs"/>
            </a:rPr>
            <a:t>Excluded, as emissions are calculated per kg CO₂e per kg final body weight (FBW).</a:t>
          </a:r>
        </a:p>
        <a:p>
          <a:pPr marL="285750" lvl="0" indent="-285750">
            <a:buFont typeface="Arial" panose="020B0604020202020204" pitchFamily="34" charset="0"/>
            <a:buChar char="•"/>
          </a:pPr>
          <a:r>
            <a:rPr lang="en-US" sz="1800">
              <a:solidFill>
                <a:schemeClr val="dk1"/>
              </a:solidFill>
              <a:effectLst/>
              <a:latin typeface="+mn-lt"/>
              <a:ea typeface="+mn-ea"/>
              <a:cs typeface="+mn-cs"/>
            </a:rPr>
            <a:t>Processing &amp; Beyond</a:t>
          </a:r>
        </a:p>
        <a:p>
          <a:pPr lvl="1"/>
          <a:r>
            <a:rPr lang="en-US" sz="1800">
              <a:solidFill>
                <a:schemeClr val="dk1"/>
              </a:solidFill>
              <a:effectLst/>
              <a:latin typeface="+mn-lt"/>
              <a:ea typeface="+mn-ea"/>
              <a:cs typeface="+mn-cs"/>
            </a:rPr>
            <a:t>Slaughter, processing, packaging, and retail distribution are not included.</a:t>
          </a:r>
        </a:p>
      </xdr:txBody>
    </xdr:sp>
    <xdr:clientData/>
  </xdr:twoCellAnchor>
  <xdr:twoCellAnchor editAs="oneCell">
    <xdr:from>
      <xdr:col>3</xdr:col>
      <xdr:colOff>515371</xdr:colOff>
      <xdr:row>1</xdr:row>
      <xdr:rowOff>202405</xdr:rowOff>
    </xdr:from>
    <xdr:to>
      <xdr:col>20</xdr:col>
      <xdr:colOff>317875</xdr:colOff>
      <xdr:row>21</xdr:row>
      <xdr:rowOff>108857</xdr:rowOff>
    </xdr:to>
    <xdr:pic>
      <xdr:nvPicPr>
        <xdr:cNvPr id="5" name="Picture 4" descr="This image is a graphic that describes the boundaries of the calculator, all of which is described in the text box below.">
          <a:extLst>
            <a:ext uri="{FF2B5EF4-FFF2-40B4-BE49-F238E27FC236}">
              <a16:creationId xmlns:a16="http://schemas.microsoft.com/office/drawing/2014/main" id="{6DCDC6EC-ADDD-2978-7903-848C17B3202C}"/>
            </a:ext>
          </a:extLst>
        </xdr:cNvPr>
        <xdr:cNvPicPr>
          <a:picLocks noChangeAspect="1"/>
        </xdr:cNvPicPr>
      </xdr:nvPicPr>
      <xdr:blipFill>
        <a:blip xmlns:r="http://schemas.openxmlformats.org/officeDocument/2006/relationships" r:embed="rId1"/>
        <a:stretch>
          <a:fillRect/>
        </a:stretch>
      </xdr:blipFill>
      <xdr:spPr>
        <a:xfrm>
          <a:off x="13292478" y="392905"/>
          <a:ext cx="10211968" cy="5281273"/>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561975</xdr:colOff>
      <xdr:row>63</xdr:row>
      <xdr:rowOff>160251</xdr:rowOff>
    </xdr:from>
    <xdr:to>
      <xdr:col>12</xdr:col>
      <xdr:colOff>504825</xdr:colOff>
      <xdr:row>72</xdr:row>
      <xdr:rowOff>104774</xdr:rowOff>
    </xdr:to>
    <xdr:pic>
      <xdr:nvPicPr>
        <xdr:cNvPr id="2" name="Picture 1">
          <a:extLst>
            <a:ext uri="{FF2B5EF4-FFF2-40B4-BE49-F238E27FC236}">
              <a16:creationId xmlns:a16="http://schemas.microsoft.com/office/drawing/2014/main" id="{B779E6BC-BC91-4CFF-BF3D-0D105FC9800F}"/>
            </a:ext>
          </a:extLst>
        </xdr:cNvPr>
        <xdr:cNvPicPr>
          <a:picLocks noChangeAspect="1"/>
        </xdr:cNvPicPr>
      </xdr:nvPicPr>
      <xdr:blipFill rotWithShape="1">
        <a:blip xmlns:r="http://schemas.openxmlformats.org/officeDocument/2006/relationships" r:embed="rId1"/>
        <a:srcRect b="49640"/>
        <a:stretch/>
      </xdr:blipFill>
      <xdr:spPr>
        <a:xfrm>
          <a:off x="24403050" y="13361901"/>
          <a:ext cx="5705475" cy="1830473"/>
        </a:xfrm>
        <a:prstGeom prst="rect">
          <a:avLst/>
        </a:prstGeom>
      </xdr:spPr>
    </xdr:pic>
    <xdr:clientData/>
  </xdr:twoCellAnchor>
  <xdr:twoCellAnchor editAs="oneCell">
    <xdr:from>
      <xdr:col>5</xdr:col>
      <xdr:colOff>638176</xdr:colOff>
      <xdr:row>53</xdr:row>
      <xdr:rowOff>200025</xdr:rowOff>
    </xdr:from>
    <xdr:to>
      <xdr:col>12</xdr:col>
      <xdr:colOff>342901</xdr:colOff>
      <xdr:row>63</xdr:row>
      <xdr:rowOff>29221</xdr:rowOff>
    </xdr:to>
    <xdr:pic>
      <xdr:nvPicPr>
        <xdr:cNvPr id="3" name="Picture 2">
          <a:extLst>
            <a:ext uri="{FF2B5EF4-FFF2-40B4-BE49-F238E27FC236}">
              <a16:creationId xmlns:a16="http://schemas.microsoft.com/office/drawing/2014/main" id="{9DA089A0-C38D-47FA-92E3-F8198F6E34B9}"/>
            </a:ext>
          </a:extLst>
        </xdr:cNvPr>
        <xdr:cNvPicPr>
          <a:picLocks noChangeAspect="1"/>
        </xdr:cNvPicPr>
      </xdr:nvPicPr>
      <xdr:blipFill rotWithShape="1">
        <a:blip xmlns:r="http://schemas.openxmlformats.org/officeDocument/2006/relationships" r:embed="rId2"/>
        <a:srcRect t="53842" r="1205"/>
        <a:stretch/>
      </xdr:blipFill>
      <xdr:spPr>
        <a:xfrm>
          <a:off x="24479251" y="11306175"/>
          <a:ext cx="5467350" cy="1924696"/>
        </a:xfrm>
        <a:prstGeom prst="rect">
          <a:avLst/>
        </a:prstGeom>
      </xdr:spPr>
    </xdr:pic>
    <xdr:clientData/>
  </xdr:twoCellAnchor>
  <xdr:twoCellAnchor editAs="oneCell">
    <xdr:from>
      <xdr:col>12</xdr:col>
      <xdr:colOff>742950</xdr:colOff>
      <xdr:row>53</xdr:row>
      <xdr:rowOff>117072</xdr:rowOff>
    </xdr:from>
    <xdr:to>
      <xdr:col>19</xdr:col>
      <xdr:colOff>523875</xdr:colOff>
      <xdr:row>63</xdr:row>
      <xdr:rowOff>200025</xdr:rowOff>
    </xdr:to>
    <xdr:pic>
      <xdr:nvPicPr>
        <xdr:cNvPr id="4" name="Picture 3">
          <a:extLst>
            <a:ext uri="{FF2B5EF4-FFF2-40B4-BE49-F238E27FC236}">
              <a16:creationId xmlns:a16="http://schemas.microsoft.com/office/drawing/2014/main" id="{21650BC0-1F94-4825-9B24-FFEDA8ABF33F}"/>
            </a:ext>
          </a:extLst>
        </xdr:cNvPr>
        <xdr:cNvPicPr>
          <a:picLocks noChangeAspect="1"/>
        </xdr:cNvPicPr>
      </xdr:nvPicPr>
      <xdr:blipFill rotWithShape="1">
        <a:blip xmlns:r="http://schemas.openxmlformats.org/officeDocument/2006/relationships" r:embed="rId2"/>
        <a:srcRect r="-345" b="47757"/>
        <a:stretch/>
      </xdr:blipFill>
      <xdr:spPr>
        <a:xfrm>
          <a:off x="30346650" y="11223222"/>
          <a:ext cx="5553075" cy="2178453"/>
        </a:xfrm>
        <a:prstGeom prst="rect">
          <a:avLst/>
        </a:prstGeom>
      </xdr:spPr>
    </xdr:pic>
    <xdr:clientData/>
  </xdr:twoCellAnchor>
  <xdr:twoCellAnchor editAs="oneCell">
    <xdr:from>
      <xdr:col>5</xdr:col>
      <xdr:colOff>676275</xdr:colOff>
      <xdr:row>73</xdr:row>
      <xdr:rowOff>114300</xdr:rowOff>
    </xdr:from>
    <xdr:to>
      <xdr:col>13</xdr:col>
      <xdr:colOff>172293</xdr:colOff>
      <xdr:row>85</xdr:row>
      <xdr:rowOff>28914</xdr:rowOff>
    </xdr:to>
    <xdr:pic>
      <xdr:nvPicPr>
        <xdr:cNvPr id="5" name="Picture 4">
          <a:extLst>
            <a:ext uri="{FF2B5EF4-FFF2-40B4-BE49-F238E27FC236}">
              <a16:creationId xmlns:a16="http://schemas.microsoft.com/office/drawing/2014/main" id="{F67C93A6-B290-43BF-9599-FB984023E012}"/>
            </a:ext>
          </a:extLst>
        </xdr:cNvPr>
        <xdr:cNvPicPr>
          <a:picLocks noChangeAspect="1"/>
        </xdr:cNvPicPr>
      </xdr:nvPicPr>
      <xdr:blipFill>
        <a:blip xmlns:r="http://schemas.openxmlformats.org/officeDocument/2006/relationships" r:embed="rId3"/>
        <a:stretch>
          <a:fillRect/>
        </a:stretch>
      </xdr:blipFill>
      <xdr:spPr>
        <a:xfrm>
          <a:off x="24517350" y="15411450"/>
          <a:ext cx="6039693" cy="2429214"/>
        </a:xfrm>
        <a:prstGeom prst="rect">
          <a:avLst/>
        </a:prstGeom>
      </xdr:spPr>
    </xdr:pic>
    <xdr:clientData/>
  </xdr:twoCellAnchor>
  <xdr:twoCellAnchor editAs="oneCell">
    <xdr:from>
      <xdr:col>5</xdr:col>
      <xdr:colOff>742950</xdr:colOff>
      <xdr:row>87</xdr:row>
      <xdr:rowOff>47625</xdr:rowOff>
    </xdr:from>
    <xdr:to>
      <xdr:col>13</xdr:col>
      <xdr:colOff>324705</xdr:colOff>
      <xdr:row>96</xdr:row>
      <xdr:rowOff>9783</xdr:rowOff>
    </xdr:to>
    <xdr:pic>
      <xdr:nvPicPr>
        <xdr:cNvPr id="6" name="Picture 5">
          <a:extLst>
            <a:ext uri="{FF2B5EF4-FFF2-40B4-BE49-F238E27FC236}">
              <a16:creationId xmlns:a16="http://schemas.microsoft.com/office/drawing/2014/main" id="{ECC70B33-B7C7-473B-9B24-24878243CC05}"/>
            </a:ext>
          </a:extLst>
        </xdr:cNvPr>
        <xdr:cNvPicPr>
          <a:picLocks noChangeAspect="1"/>
        </xdr:cNvPicPr>
      </xdr:nvPicPr>
      <xdr:blipFill>
        <a:blip xmlns:r="http://schemas.openxmlformats.org/officeDocument/2006/relationships" r:embed="rId4"/>
        <a:stretch>
          <a:fillRect/>
        </a:stretch>
      </xdr:blipFill>
      <xdr:spPr>
        <a:xfrm>
          <a:off x="24584025" y="18278475"/>
          <a:ext cx="6125430" cy="1848108"/>
        </a:xfrm>
        <a:prstGeom prst="rect">
          <a:avLst/>
        </a:prstGeom>
      </xdr:spPr>
    </xdr:pic>
    <xdr:clientData/>
  </xdr:twoCellAnchor>
  <xdr:twoCellAnchor editAs="oneCell">
    <xdr:from>
      <xdr:col>6</xdr:col>
      <xdr:colOff>38100</xdr:colOff>
      <xdr:row>18</xdr:row>
      <xdr:rowOff>38100</xdr:rowOff>
    </xdr:from>
    <xdr:to>
      <xdr:col>13</xdr:col>
      <xdr:colOff>296115</xdr:colOff>
      <xdr:row>38</xdr:row>
      <xdr:rowOff>153001</xdr:rowOff>
    </xdr:to>
    <xdr:pic>
      <xdr:nvPicPr>
        <xdr:cNvPr id="7" name="Picture 6">
          <a:extLst>
            <a:ext uri="{FF2B5EF4-FFF2-40B4-BE49-F238E27FC236}">
              <a16:creationId xmlns:a16="http://schemas.microsoft.com/office/drawing/2014/main" id="{0E9F3095-21FD-43D9-86FC-74AF3201BB65}"/>
            </a:ext>
          </a:extLst>
        </xdr:cNvPr>
        <xdr:cNvPicPr>
          <a:picLocks noChangeAspect="1"/>
        </xdr:cNvPicPr>
      </xdr:nvPicPr>
      <xdr:blipFill>
        <a:blip xmlns:r="http://schemas.openxmlformats.org/officeDocument/2006/relationships" r:embed="rId5"/>
        <a:stretch>
          <a:fillRect/>
        </a:stretch>
      </xdr:blipFill>
      <xdr:spPr>
        <a:xfrm>
          <a:off x="24660225" y="4438650"/>
          <a:ext cx="6020640" cy="4305901"/>
        </a:xfrm>
        <a:prstGeom prst="rect">
          <a:avLst/>
        </a:prstGeom>
      </xdr:spPr>
    </xdr:pic>
    <xdr:clientData/>
  </xdr:twoCellAnchor>
  <xdr:twoCellAnchor editAs="oneCell">
    <xdr:from>
      <xdr:col>13</xdr:col>
      <xdr:colOff>676275</xdr:colOff>
      <xdr:row>21</xdr:row>
      <xdr:rowOff>76200</xdr:rowOff>
    </xdr:from>
    <xdr:to>
      <xdr:col>20</xdr:col>
      <xdr:colOff>666750</xdr:colOff>
      <xdr:row>38</xdr:row>
      <xdr:rowOff>139163</xdr:rowOff>
    </xdr:to>
    <xdr:pic>
      <xdr:nvPicPr>
        <xdr:cNvPr id="8" name="Picture 7">
          <a:extLst>
            <a:ext uri="{FF2B5EF4-FFF2-40B4-BE49-F238E27FC236}">
              <a16:creationId xmlns:a16="http://schemas.microsoft.com/office/drawing/2014/main" id="{194FA82F-D5B9-4826-B5EE-8B04ABA303CE}"/>
            </a:ext>
          </a:extLst>
        </xdr:cNvPr>
        <xdr:cNvPicPr>
          <a:picLocks noChangeAspect="1"/>
        </xdr:cNvPicPr>
      </xdr:nvPicPr>
      <xdr:blipFill>
        <a:blip xmlns:r="http://schemas.openxmlformats.org/officeDocument/2006/relationships" r:embed="rId6"/>
        <a:stretch>
          <a:fillRect/>
        </a:stretch>
      </xdr:blipFill>
      <xdr:spPr>
        <a:xfrm>
          <a:off x="31061025" y="4476750"/>
          <a:ext cx="5762625" cy="3625313"/>
        </a:xfrm>
        <a:prstGeom prst="rect">
          <a:avLst/>
        </a:prstGeom>
      </xdr:spPr>
    </xdr:pic>
    <xdr:clientData/>
  </xdr:twoCellAnchor>
  <xdr:twoCellAnchor editAs="oneCell">
    <xdr:from>
      <xdr:col>5</xdr:col>
      <xdr:colOff>714375</xdr:colOff>
      <xdr:row>96</xdr:row>
      <xdr:rowOff>47625</xdr:rowOff>
    </xdr:from>
    <xdr:to>
      <xdr:col>13</xdr:col>
      <xdr:colOff>200867</xdr:colOff>
      <xdr:row>104</xdr:row>
      <xdr:rowOff>143122</xdr:rowOff>
    </xdr:to>
    <xdr:pic>
      <xdr:nvPicPr>
        <xdr:cNvPr id="9" name="Picture 8">
          <a:extLst>
            <a:ext uri="{FF2B5EF4-FFF2-40B4-BE49-F238E27FC236}">
              <a16:creationId xmlns:a16="http://schemas.microsoft.com/office/drawing/2014/main" id="{FA22FAE9-B5F8-4038-A4DB-A7596AE7669A}"/>
            </a:ext>
          </a:extLst>
        </xdr:cNvPr>
        <xdr:cNvPicPr>
          <a:picLocks noChangeAspect="1"/>
        </xdr:cNvPicPr>
      </xdr:nvPicPr>
      <xdr:blipFill>
        <a:blip xmlns:r="http://schemas.openxmlformats.org/officeDocument/2006/relationships" r:embed="rId7"/>
        <a:stretch>
          <a:fillRect/>
        </a:stretch>
      </xdr:blipFill>
      <xdr:spPr>
        <a:xfrm>
          <a:off x="11201400" y="20164425"/>
          <a:ext cx="6030167" cy="1771897"/>
        </a:xfrm>
        <a:prstGeom prst="rect">
          <a:avLst/>
        </a:prstGeom>
      </xdr:spPr>
    </xdr:pic>
    <xdr:clientData/>
  </xdr:twoCellAnchor>
  <xdr:twoCellAnchor editAs="oneCell">
    <xdr:from>
      <xdr:col>14</xdr:col>
      <xdr:colOff>657225</xdr:colOff>
      <xdr:row>71</xdr:row>
      <xdr:rowOff>57755</xdr:rowOff>
    </xdr:from>
    <xdr:to>
      <xdr:col>21</xdr:col>
      <xdr:colOff>86707</xdr:colOff>
      <xdr:row>83</xdr:row>
      <xdr:rowOff>105258</xdr:rowOff>
    </xdr:to>
    <xdr:pic>
      <xdr:nvPicPr>
        <xdr:cNvPr id="10" name="Picture 9">
          <a:extLst>
            <a:ext uri="{FF2B5EF4-FFF2-40B4-BE49-F238E27FC236}">
              <a16:creationId xmlns:a16="http://schemas.microsoft.com/office/drawing/2014/main" id="{44B21837-6158-09B9-F60D-40C2AD3EAE94}"/>
            </a:ext>
          </a:extLst>
        </xdr:cNvPr>
        <xdr:cNvPicPr>
          <a:picLocks noChangeAspect="1"/>
        </xdr:cNvPicPr>
      </xdr:nvPicPr>
      <xdr:blipFill>
        <a:blip xmlns:r="http://schemas.openxmlformats.org/officeDocument/2006/relationships" r:embed="rId8"/>
        <a:stretch>
          <a:fillRect/>
        </a:stretch>
      </xdr:blipFill>
      <xdr:spPr>
        <a:xfrm>
          <a:off x="18468975" y="14935805"/>
          <a:ext cx="5201632" cy="2562103"/>
        </a:xfrm>
        <a:prstGeom prst="rect">
          <a:avLst/>
        </a:prstGeom>
      </xdr:spPr>
    </xdr:pic>
    <xdr:clientData/>
  </xdr:twoCellAnchor>
  <xdr:twoCellAnchor editAs="oneCell">
    <xdr:from>
      <xdr:col>15</xdr:col>
      <xdr:colOff>118092</xdr:colOff>
      <xdr:row>85</xdr:row>
      <xdr:rowOff>0</xdr:rowOff>
    </xdr:from>
    <xdr:to>
      <xdr:col>21</xdr:col>
      <xdr:colOff>67637</xdr:colOff>
      <xdr:row>105</xdr:row>
      <xdr:rowOff>162772</xdr:rowOff>
    </xdr:to>
    <xdr:pic>
      <xdr:nvPicPr>
        <xdr:cNvPr id="11" name="Picture 10">
          <a:extLst>
            <a:ext uri="{FF2B5EF4-FFF2-40B4-BE49-F238E27FC236}">
              <a16:creationId xmlns:a16="http://schemas.microsoft.com/office/drawing/2014/main" id="{D61F334D-EC75-D2A1-B50D-315C55B4E2DB}"/>
            </a:ext>
          </a:extLst>
        </xdr:cNvPr>
        <xdr:cNvPicPr>
          <a:picLocks noChangeAspect="1"/>
        </xdr:cNvPicPr>
      </xdr:nvPicPr>
      <xdr:blipFill>
        <a:blip xmlns:r="http://schemas.openxmlformats.org/officeDocument/2006/relationships" r:embed="rId9"/>
        <a:stretch>
          <a:fillRect/>
        </a:stretch>
      </xdr:blipFill>
      <xdr:spPr>
        <a:xfrm>
          <a:off x="18710892" y="17811750"/>
          <a:ext cx="4940645" cy="43537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247650</xdr:colOff>
      <xdr:row>1</xdr:row>
      <xdr:rowOff>9525</xdr:rowOff>
    </xdr:from>
    <xdr:to>
      <xdr:col>21</xdr:col>
      <xdr:colOff>150061</xdr:colOff>
      <xdr:row>8</xdr:row>
      <xdr:rowOff>343239</xdr:rowOff>
    </xdr:to>
    <xdr:pic>
      <xdr:nvPicPr>
        <xdr:cNvPr id="2" name="Picture 1">
          <a:extLst>
            <a:ext uri="{FF2B5EF4-FFF2-40B4-BE49-F238E27FC236}">
              <a16:creationId xmlns:a16="http://schemas.microsoft.com/office/drawing/2014/main" id="{36DEF389-3640-4981-ADD3-B39AE8C461CA}"/>
            </a:ext>
          </a:extLst>
        </xdr:cNvPr>
        <xdr:cNvPicPr>
          <a:picLocks noChangeAspect="1"/>
        </xdr:cNvPicPr>
      </xdr:nvPicPr>
      <xdr:blipFill>
        <a:blip xmlns:r="http://schemas.openxmlformats.org/officeDocument/2006/relationships" r:embed="rId1"/>
        <a:stretch>
          <a:fillRect/>
        </a:stretch>
      </xdr:blipFill>
      <xdr:spPr>
        <a:xfrm>
          <a:off x="11934825" y="200025"/>
          <a:ext cx="5992061" cy="2429214"/>
        </a:xfrm>
        <a:prstGeom prst="rect">
          <a:avLst/>
        </a:prstGeom>
      </xdr:spPr>
    </xdr:pic>
    <xdr:clientData/>
  </xdr:twoCellAnchor>
  <xdr:twoCellAnchor editAs="oneCell">
    <xdr:from>
      <xdr:col>11</xdr:col>
      <xdr:colOff>257175</xdr:colOff>
      <xdr:row>8</xdr:row>
      <xdr:rowOff>355472</xdr:rowOff>
    </xdr:from>
    <xdr:to>
      <xdr:col>21</xdr:col>
      <xdr:colOff>57150</xdr:colOff>
      <xdr:row>17</xdr:row>
      <xdr:rowOff>53975</xdr:rowOff>
    </xdr:to>
    <xdr:pic>
      <xdr:nvPicPr>
        <xdr:cNvPr id="3" name="Picture 2">
          <a:extLst>
            <a:ext uri="{FF2B5EF4-FFF2-40B4-BE49-F238E27FC236}">
              <a16:creationId xmlns:a16="http://schemas.microsoft.com/office/drawing/2014/main" id="{4C1F8273-E508-4072-A598-BCB981F0502E}"/>
            </a:ext>
          </a:extLst>
        </xdr:cNvPr>
        <xdr:cNvPicPr>
          <a:picLocks noChangeAspect="1"/>
        </xdr:cNvPicPr>
      </xdr:nvPicPr>
      <xdr:blipFill>
        <a:blip xmlns:r="http://schemas.openxmlformats.org/officeDocument/2006/relationships" r:embed="rId2"/>
        <a:stretch>
          <a:fillRect/>
        </a:stretch>
      </xdr:blipFill>
      <xdr:spPr>
        <a:xfrm>
          <a:off x="11658600" y="2641472"/>
          <a:ext cx="5895975" cy="1787653"/>
        </a:xfrm>
        <a:prstGeom prst="rect">
          <a:avLst/>
        </a:prstGeom>
      </xdr:spPr>
    </xdr:pic>
    <xdr:clientData/>
  </xdr:twoCellAnchor>
  <xdr:twoCellAnchor editAs="oneCell">
    <xdr:from>
      <xdr:col>10</xdr:col>
      <xdr:colOff>247650</xdr:colOff>
      <xdr:row>19</xdr:row>
      <xdr:rowOff>47625</xdr:rowOff>
    </xdr:from>
    <xdr:to>
      <xdr:col>18</xdr:col>
      <xdr:colOff>419100</xdr:colOff>
      <xdr:row>25</xdr:row>
      <xdr:rowOff>109582</xdr:rowOff>
    </xdr:to>
    <xdr:pic>
      <xdr:nvPicPr>
        <xdr:cNvPr id="4" name="Picture 3">
          <a:extLst>
            <a:ext uri="{FF2B5EF4-FFF2-40B4-BE49-F238E27FC236}">
              <a16:creationId xmlns:a16="http://schemas.microsoft.com/office/drawing/2014/main" id="{90328445-98E2-4575-922D-E023953FEC59}"/>
            </a:ext>
          </a:extLst>
        </xdr:cNvPr>
        <xdr:cNvPicPr>
          <a:picLocks noChangeAspect="1"/>
        </xdr:cNvPicPr>
      </xdr:nvPicPr>
      <xdr:blipFill>
        <a:blip xmlns:r="http://schemas.openxmlformats.org/officeDocument/2006/relationships" r:embed="rId3"/>
        <a:stretch>
          <a:fillRect/>
        </a:stretch>
      </xdr:blipFill>
      <xdr:spPr>
        <a:xfrm>
          <a:off x="11325225" y="4810125"/>
          <a:ext cx="5048250" cy="1198607"/>
        </a:xfrm>
        <a:prstGeom prst="rect">
          <a:avLst/>
        </a:prstGeom>
      </xdr:spPr>
    </xdr:pic>
    <xdr:clientData/>
  </xdr:twoCellAnchor>
  <xdr:twoCellAnchor editAs="oneCell">
    <xdr:from>
      <xdr:col>8</xdr:col>
      <xdr:colOff>1637</xdr:colOff>
      <xdr:row>45</xdr:row>
      <xdr:rowOff>190499</xdr:rowOff>
    </xdr:from>
    <xdr:to>
      <xdr:col>15</xdr:col>
      <xdr:colOff>342901</xdr:colOff>
      <xdr:row>58</xdr:row>
      <xdr:rowOff>111124</xdr:rowOff>
    </xdr:to>
    <xdr:pic>
      <xdr:nvPicPr>
        <xdr:cNvPr id="5" name="Picture 4">
          <a:extLst>
            <a:ext uri="{FF2B5EF4-FFF2-40B4-BE49-F238E27FC236}">
              <a16:creationId xmlns:a16="http://schemas.microsoft.com/office/drawing/2014/main" id="{6CB488DD-C967-4705-AC82-9AD11B00350B}"/>
            </a:ext>
          </a:extLst>
        </xdr:cNvPr>
        <xdr:cNvPicPr>
          <a:picLocks noChangeAspect="1"/>
        </xdr:cNvPicPr>
      </xdr:nvPicPr>
      <xdr:blipFill>
        <a:blip xmlns:r="http://schemas.openxmlformats.org/officeDocument/2006/relationships" r:embed="rId4"/>
        <a:stretch>
          <a:fillRect/>
        </a:stretch>
      </xdr:blipFill>
      <xdr:spPr>
        <a:xfrm>
          <a:off x="9860012" y="11401424"/>
          <a:ext cx="4608464" cy="3152775"/>
        </a:xfrm>
        <a:prstGeom prst="rect">
          <a:avLst/>
        </a:prstGeom>
      </xdr:spPr>
    </xdr:pic>
    <xdr:clientData/>
  </xdr:twoCellAnchor>
  <xdr:twoCellAnchor editAs="oneCell">
    <xdr:from>
      <xdr:col>11</xdr:col>
      <xdr:colOff>323850</xdr:colOff>
      <xdr:row>25</xdr:row>
      <xdr:rowOff>362255</xdr:rowOff>
    </xdr:from>
    <xdr:to>
      <xdr:col>16</xdr:col>
      <xdr:colOff>454025</xdr:colOff>
      <xdr:row>27</xdr:row>
      <xdr:rowOff>130253</xdr:rowOff>
    </xdr:to>
    <xdr:pic>
      <xdr:nvPicPr>
        <xdr:cNvPr id="8" name="Picture 7">
          <a:extLst>
            <a:ext uri="{FF2B5EF4-FFF2-40B4-BE49-F238E27FC236}">
              <a16:creationId xmlns:a16="http://schemas.microsoft.com/office/drawing/2014/main" id="{D6298266-F458-7052-9573-A88A7CA697FD}"/>
            </a:ext>
          </a:extLst>
        </xdr:cNvPr>
        <xdr:cNvPicPr>
          <a:picLocks noChangeAspect="1"/>
        </xdr:cNvPicPr>
      </xdr:nvPicPr>
      <xdr:blipFill>
        <a:blip xmlns:r="http://schemas.openxmlformats.org/officeDocument/2006/relationships" r:embed="rId5"/>
        <a:stretch>
          <a:fillRect/>
        </a:stretch>
      </xdr:blipFill>
      <xdr:spPr>
        <a:xfrm>
          <a:off x="11725275" y="6267755"/>
          <a:ext cx="3171825" cy="495073"/>
        </a:xfrm>
        <a:prstGeom prst="rect">
          <a:avLst/>
        </a:prstGeom>
      </xdr:spPr>
    </xdr:pic>
    <xdr:clientData/>
  </xdr:twoCellAnchor>
  <xdr:twoCellAnchor editAs="oneCell">
    <xdr:from>
      <xdr:col>7</xdr:col>
      <xdr:colOff>515987</xdr:colOff>
      <xdr:row>28</xdr:row>
      <xdr:rowOff>19049</xdr:rowOff>
    </xdr:from>
    <xdr:to>
      <xdr:col>15</xdr:col>
      <xdr:colOff>247651</xdr:colOff>
      <xdr:row>40</xdr:row>
      <xdr:rowOff>130174</xdr:rowOff>
    </xdr:to>
    <xdr:pic>
      <xdr:nvPicPr>
        <xdr:cNvPr id="9" name="Picture 8">
          <a:extLst>
            <a:ext uri="{FF2B5EF4-FFF2-40B4-BE49-F238E27FC236}">
              <a16:creationId xmlns:a16="http://schemas.microsoft.com/office/drawing/2014/main" id="{69C669FD-7911-455E-BB0D-41D48154BD47}"/>
            </a:ext>
          </a:extLst>
        </xdr:cNvPr>
        <xdr:cNvPicPr>
          <a:picLocks noChangeAspect="1"/>
        </xdr:cNvPicPr>
      </xdr:nvPicPr>
      <xdr:blipFill>
        <a:blip xmlns:r="http://schemas.openxmlformats.org/officeDocument/2006/relationships" r:embed="rId4"/>
        <a:stretch>
          <a:fillRect/>
        </a:stretch>
      </xdr:blipFill>
      <xdr:spPr>
        <a:xfrm>
          <a:off x="9764762" y="6848474"/>
          <a:ext cx="4608464" cy="3152775"/>
        </a:xfrm>
        <a:prstGeom prst="rect">
          <a:avLst/>
        </a:prstGeom>
      </xdr:spPr>
    </xdr:pic>
    <xdr:clientData/>
  </xdr:twoCellAnchor>
  <xdr:twoCellAnchor editAs="oneCell">
    <xdr:from>
      <xdr:col>1</xdr:col>
      <xdr:colOff>819150</xdr:colOff>
      <xdr:row>64</xdr:row>
      <xdr:rowOff>190499</xdr:rowOff>
    </xdr:from>
    <xdr:to>
      <xdr:col>4</xdr:col>
      <xdr:colOff>437368</xdr:colOff>
      <xdr:row>82</xdr:row>
      <xdr:rowOff>168274</xdr:rowOff>
    </xdr:to>
    <xdr:pic>
      <xdr:nvPicPr>
        <xdr:cNvPr id="11" name="Picture 10">
          <a:extLst>
            <a:ext uri="{FF2B5EF4-FFF2-40B4-BE49-F238E27FC236}">
              <a16:creationId xmlns:a16="http://schemas.microsoft.com/office/drawing/2014/main" id="{E0267103-1B65-D91B-33CF-59B4D5783031}"/>
            </a:ext>
          </a:extLst>
        </xdr:cNvPr>
        <xdr:cNvPicPr>
          <a:picLocks noChangeAspect="1"/>
        </xdr:cNvPicPr>
      </xdr:nvPicPr>
      <xdr:blipFill>
        <a:blip xmlns:r="http://schemas.openxmlformats.org/officeDocument/2006/relationships" r:embed="rId6"/>
        <a:stretch>
          <a:fillRect/>
        </a:stretch>
      </xdr:blipFill>
      <xdr:spPr>
        <a:xfrm>
          <a:off x="1714500" y="15973424"/>
          <a:ext cx="5418943" cy="3400425"/>
        </a:xfrm>
        <a:prstGeom prst="rect">
          <a:avLst/>
        </a:prstGeom>
      </xdr:spPr>
    </xdr:pic>
    <xdr:clientData/>
  </xdr:twoCellAnchor>
  <xdr:twoCellAnchor editAs="oneCell">
    <xdr:from>
      <xdr:col>4</xdr:col>
      <xdr:colOff>857251</xdr:colOff>
      <xdr:row>60</xdr:row>
      <xdr:rowOff>28576</xdr:rowOff>
    </xdr:from>
    <xdr:to>
      <xdr:col>10</xdr:col>
      <xdr:colOff>566753</xdr:colOff>
      <xdr:row>84</xdr:row>
      <xdr:rowOff>187326</xdr:rowOff>
    </xdr:to>
    <xdr:pic>
      <xdr:nvPicPr>
        <xdr:cNvPr id="12" name="Picture 11">
          <a:extLst>
            <a:ext uri="{FF2B5EF4-FFF2-40B4-BE49-F238E27FC236}">
              <a16:creationId xmlns:a16="http://schemas.microsoft.com/office/drawing/2014/main" id="{CD25F91E-4CC6-CF16-6694-EAC9BC37E161}"/>
            </a:ext>
          </a:extLst>
        </xdr:cNvPr>
        <xdr:cNvPicPr>
          <a:picLocks noChangeAspect="1"/>
        </xdr:cNvPicPr>
      </xdr:nvPicPr>
      <xdr:blipFill>
        <a:blip xmlns:r="http://schemas.openxmlformats.org/officeDocument/2006/relationships" r:embed="rId7"/>
        <a:stretch>
          <a:fillRect/>
        </a:stretch>
      </xdr:blipFill>
      <xdr:spPr>
        <a:xfrm>
          <a:off x="7553326" y="15049501"/>
          <a:ext cx="4091002" cy="472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352425</xdr:colOff>
      <xdr:row>7</xdr:row>
      <xdr:rowOff>9525</xdr:rowOff>
    </xdr:from>
    <xdr:to>
      <xdr:col>17</xdr:col>
      <xdr:colOff>143713</xdr:colOff>
      <xdr:row>17</xdr:row>
      <xdr:rowOff>152686</xdr:rowOff>
    </xdr:to>
    <xdr:pic>
      <xdr:nvPicPr>
        <xdr:cNvPr id="2" name="Picture 1">
          <a:extLst>
            <a:ext uri="{FF2B5EF4-FFF2-40B4-BE49-F238E27FC236}">
              <a16:creationId xmlns:a16="http://schemas.microsoft.com/office/drawing/2014/main" id="{73C46B82-9E2B-44C9-9C0E-FFDEF85258A0}"/>
            </a:ext>
          </a:extLst>
        </xdr:cNvPr>
        <xdr:cNvPicPr>
          <a:picLocks noChangeAspect="1"/>
        </xdr:cNvPicPr>
      </xdr:nvPicPr>
      <xdr:blipFill>
        <a:blip xmlns:r="http://schemas.openxmlformats.org/officeDocument/2006/relationships" r:embed="rId1"/>
        <a:stretch>
          <a:fillRect/>
        </a:stretch>
      </xdr:blipFill>
      <xdr:spPr>
        <a:xfrm>
          <a:off x="10344150" y="1724025"/>
          <a:ext cx="6001588" cy="2048161"/>
        </a:xfrm>
        <a:prstGeom prst="rect">
          <a:avLst/>
        </a:prstGeom>
      </xdr:spPr>
    </xdr:pic>
    <xdr:clientData/>
  </xdr:twoCellAnchor>
  <xdr:twoCellAnchor editAs="oneCell">
    <xdr:from>
      <xdr:col>6</xdr:col>
      <xdr:colOff>9525</xdr:colOff>
      <xdr:row>17</xdr:row>
      <xdr:rowOff>85725</xdr:rowOff>
    </xdr:from>
    <xdr:to>
      <xdr:col>15</xdr:col>
      <xdr:colOff>477085</xdr:colOff>
      <xdr:row>27</xdr:row>
      <xdr:rowOff>38412</xdr:rowOff>
    </xdr:to>
    <xdr:pic>
      <xdr:nvPicPr>
        <xdr:cNvPr id="3" name="Picture 2">
          <a:extLst>
            <a:ext uri="{FF2B5EF4-FFF2-40B4-BE49-F238E27FC236}">
              <a16:creationId xmlns:a16="http://schemas.microsoft.com/office/drawing/2014/main" id="{A579AD0B-796D-4E16-8BFC-7142C702DED2}"/>
            </a:ext>
          </a:extLst>
        </xdr:cNvPr>
        <xdr:cNvPicPr>
          <a:picLocks noChangeAspect="1"/>
        </xdr:cNvPicPr>
      </xdr:nvPicPr>
      <xdr:blipFill>
        <a:blip xmlns:r="http://schemas.openxmlformats.org/officeDocument/2006/relationships" r:embed="rId2"/>
        <a:stretch>
          <a:fillRect/>
        </a:stretch>
      </xdr:blipFill>
      <xdr:spPr>
        <a:xfrm>
          <a:off x="8172450" y="3705225"/>
          <a:ext cx="5982535" cy="2238687"/>
        </a:xfrm>
        <a:prstGeom prst="rect">
          <a:avLst/>
        </a:prstGeom>
      </xdr:spPr>
    </xdr:pic>
    <xdr:clientData/>
  </xdr:twoCellAnchor>
  <xdr:twoCellAnchor editAs="oneCell">
    <xdr:from>
      <xdr:col>1</xdr:col>
      <xdr:colOff>352425</xdr:colOff>
      <xdr:row>26</xdr:row>
      <xdr:rowOff>76200</xdr:rowOff>
    </xdr:from>
    <xdr:to>
      <xdr:col>3</xdr:col>
      <xdr:colOff>1019175</xdr:colOff>
      <xdr:row>38</xdr:row>
      <xdr:rowOff>82681</xdr:rowOff>
    </xdr:to>
    <xdr:pic>
      <xdr:nvPicPr>
        <xdr:cNvPr id="4" name="Picture 3">
          <a:extLst>
            <a:ext uri="{FF2B5EF4-FFF2-40B4-BE49-F238E27FC236}">
              <a16:creationId xmlns:a16="http://schemas.microsoft.com/office/drawing/2014/main" id="{C265BF0A-EC00-424D-BBBD-FE4206657B9C}"/>
            </a:ext>
          </a:extLst>
        </xdr:cNvPr>
        <xdr:cNvPicPr>
          <a:picLocks noChangeAspect="1"/>
        </xdr:cNvPicPr>
      </xdr:nvPicPr>
      <xdr:blipFill>
        <a:blip xmlns:r="http://schemas.openxmlformats.org/officeDocument/2006/relationships" r:embed="rId3"/>
        <a:stretch>
          <a:fillRect/>
        </a:stretch>
      </xdr:blipFill>
      <xdr:spPr>
        <a:xfrm>
          <a:off x="8515350" y="5981700"/>
          <a:ext cx="5048250" cy="2292481"/>
        </a:xfrm>
        <a:prstGeom prst="rect">
          <a:avLst/>
        </a:prstGeom>
      </xdr:spPr>
    </xdr:pic>
    <xdr:clientData/>
  </xdr:twoCellAnchor>
  <xdr:twoCellAnchor editAs="oneCell">
    <xdr:from>
      <xdr:col>6</xdr:col>
      <xdr:colOff>161926</xdr:colOff>
      <xdr:row>37</xdr:row>
      <xdr:rowOff>180203</xdr:rowOff>
    </xdr:from>
    <xdr:to>
      <xdr:col>14</xdr:col>
      <xdr:colOff>552451</xdr:colOff>
      <xdr:row>46</xdr:row>
      <xdr:rowOff>105080</xdr:rowOff>
    </xdr:to>
    <xdr:pic>
      <xdr:nvPicPr>
        <xdr:cNvPr id="5" name="Picture 4">
          <a:extLst>
            <a:ext uri="{FF2B5EF4-FFF2-40B4-BE49-F238E27FC236}">
              <a16:creationId xmlns:a16="http://schemas.microsoft.com/office/drawing/2014/main" id="{2DCC18D5-6C47-CCBE-D242-86C86A0B1746}"/>
            </a:ext>
          </a:extLst>
        </xdr:cNvPr>
        <xdr:cNvPicPr>
          <a:picLocks noChangeAspect="1"/>
        </xdr:cNvPicPr>
      </xdr:nvPicPr>
      <xdr:blipFill>
        <a:blip xmlns:r="http://schemas.openxmlformats.org/officeDocument/2006/relationships" r:embed="rId4"/>
        <a:stretch>
          <a:fillRect/>
        </a:stretch>
      </xdr:blipFill>
      <xdr:spPr>
        <a:xfrm>
          <a:off x="8324851" y="8181203"/>
          <a:ext cx="5295900" cy="1639377"/>
        </a:xfrm>
        <a:prstGeom prst="rect">
          <a:avLst/>
        </a:prstGeom>
      </xdr:spPr>
    </xdr:pic>
    <xdr:clientData/>
  </xdr:twoCellAnchor>
  <xdr:twoCellAnchor editAs="oneCell">
    <xdr:from>
      <xdr:col>6</xdr:col>
      <xdr:colOff>438151</xdr:colOff>
      <xdr:row>49</xdr:row>
      <xdr:rowOff>33593</xdr:rowOff>
    </xdr:from>
    <xdr:to>
      <xdr:col>14</xdr:col>
      <xdr:colOff>409575</xdr:colOff>
      <xdr:row>57</xdr:row>
      <xdr:rowOff>132890</xdr:rowOff>
    </xdr:to>
    <xdr:pic>
      <xdr:nvPicPr>
        <xdr:cNvPr id="6" name="Picture 5">
          <a:extLst>
            <a:ext uri="{FF2B5EF4-FFF2-40B4-BE49-F238E27FC236}">
              <a16:creationId xmlns:a16="http://schemas.microsoft.com/office/drawing/2014/main" id="{531E22A2-ACB0-3E68-D929-61AF1F61D045}"/>
            </a:ext>
          </a:extLst>
        </xdr:cNvPr>
        <xdr:cNvPicPr>
          <a:picLocks noChangeAspect="1"/>
        </xdr:cNvPicPr>
      </xdr:nvPicPr>
      <xdr:blipFill>
        <a:blip xmlns:r="http://schemas.openxmlformats.org/officeDocument/2006/relationships" r:embed="rId5"/>
        <a:stretch>
          <a:fillRect/>
        </a:stretch>
      </xdr:blipFill>
      <xdr:spPr>
        <a:xfrm>
          <a:off x="8601076" y="10320593"/>
          <a:ext cx="4876799" cy="1623297"/>
        </a:xfrm>
        <a:prstGeom prst="rect">
          <a:avLst/>
        </a:prstGeom>
      </xdr:spPr>
    </xdr:pic>
    <xdr:clientData/>
  </xdr:twoCellAnchor>
  <xdr:twoCellAnchor editAs="oneCell">
    <xdr:from>
      <xdr:col>1</xdr:col>
      <xdr:colOff>2171700</xdr:colOff>
      <xdr:row>40</xdr:row>
      <xdr:rowOff>190174</xdr:rowOff>
    </xdr:from>
    <xdr:to>
      <xdr:col>5</xdr:col>
      <xdr:colOff>409575</xdr:colOff>
      <xdr:row>57</xdr:row>
      <xdr:rowOff>143722</xdr:rowOff>
    </xdr:to>
    <xdr:pic>
      <xdr:nvPicPr>
        <xdr:cNvPr id="7" name="Picture 6">
          <a:extLst>
            <a:ext uri="{FF2B5EF4-FFF2-40B4-BE49-F238E27FC236}">
              <a16:creationId xmlns:a16="http://schemas.microsoft.com/office/drawing/2014/main" id="{3759B6AF-B2D1-0F44-23B5-72ECA247DBE0}"/>
            </a:ext>
          </a:extLst>
        </xdr:cNvPr>
        <xdr:cNvPicPr>
          <a:picLocks noChangeAspect="1"/>
        </xdr:cNvPicPr>
      </xdr:nvPicPr>
      <xdr:blipFill>
        <a:blip xmlns:r="http://schemas.openxmlformats.org/officeDocument/2006/relationships" r:embed="rId6"/>
        <a:stretch>
          <a:fillRect/>
        </a:stretch>
      </xdr:blipFill>
      <xdr:spPr>
        <a:xfrm>
          <a:off x="2657475" y="8762674"/>
          <a:ext cx="4800600" cy="319204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aylor Mcatee" id="{26DE7629-3D3F-47E0-88E7-C138E6B18983}" userId="S::taylormcatee@ksu.edu::742928c5-949c-4bb9-896a-d376d7a171e9" providerId="AD"/>
</personList>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939193"/>
      </a:lt2>
      <a:accent1>
        <a:srgbClr val="512888"/>
      </a:accent1>
      <a:accent2>
        <a:srgbClr val="D1D1D1"/>
      </a:accent2>
      <a:accent3>
        <a:srgbClr val="A5A5A5"/>
      </a:accent3>
      <a:accent4>
        <a:srgbClr val="E4D89E"/>
      </a:accent4>
      <a:accent5>
        <a:srgbClr val="B9AC98"/>
      </a:accent5>
      <a:accent6>
        <a:srgbClr val="9F6950"/>
      </a:accent6>
      <a:hlink>
        <a:srgbClr val="CFA152"/>
      </a:hlink>
      <a:folHlink>
        <a:srgbClr val="FFF1C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0" dT="2024-03-24T14:08:50.25" personId="{26DE7629-3D3F-47E0-88E7-C138E6B18983}" id="{0C59EB4F-DD6B-4981-B36F-505CCD0510F0}">
    <text>The total weight of the cattle before shipping multiplied by a shrink amount. A typical number to use is 4%, so multiply the total by 0.96 to get the number for the cell</text>
  </threadedComment>
</ThreadedComments>
</file>

<file path=xl/threadedComments/threadedComment2.xml><?xml version="1.0" encoding="utf-8"?>
<ThreadedComments xmlns="http://schemas.microsoft.com/office/spreadsheetml/2018/threadedcomments" xmlns:x="http://schemas.openxmlformats.org/spreadsheetml/2006/main">
  <threadedComment ref="A8" dT="2024-03-24T14:08:50.25" personId="{26DE7629-3D3F-47E0-88E7-C138E6B18983}" id="{397E9A93-D07E-42DD-A9F8-2594B19E8A92}">
    <text>The total weight of the cattle before shipping multiplied by a shrink amount. A typical number to use is 4%, so multiply the total by 0.96 to get the number for the cell</text>
  </threadedComment>
  <threadedComment ref="D14" dT="2026-03-31T14:20:27.90" personId="{26DE7629-3D3F-47E0-88E7-C138E6B18983}" id="{79364994-380C-49FF-B7DE-065D87A01B12}">
    <text>To view a full list of feedstuffs, check the ingredient list sheet</text>
  </threadedComment>
</ThreadedComments>
</file>

<file path=xl/threadedComments/threadedComment3.xml><?xml version="1.0" encoding="utf-8"?>
<ThreadedComments xmlns="http://schemas.microsoft.com/office/spreadsheetml/2018/threadedcomments" xmlns:x="http://schemas.openxmlformats.org/spreadsheetml/2006/main">
  <threadedComment ref="F59" dT="2025-03-10T13:04:42.69" personId="{26DE7629-3D3F-47E0-88E7-C138E6B18983}" id="{83363896-A19E-4209-862D-32E039D093E7}">
    <text>Average of early bloom, mid bloom, and late bloom</text>
  </threadedComment>
</ThreadedComments>
</file>

<file path=xl/threadedComments/threadedComment4.xml><?xml version="1.0" encoding="utf-8"?>
<ThreadedComments xmlns="http://schemas.microsoft.com/office/spreadsheetml/2018/threadedcomments" xmlns:x="http://schemas.openxmlformats.org/spreadsheetml/2006/main">
  <threadedComment ref="A59" dT="2025-03-10T13:04:42.69" personId="{26DE7629-3D3F-47E0-88E7-C138E6B18983}" id="{E8D07162-0165-4592-BBA5-37975A080579}">
    <text>Average of early bloom, mid bloom, and late bloom</text>
  </threadedComment>
</ThreadedComments>
</file>

<file path=xl/threadedComments/threadedComment5.xml><?xml version="1.0" encoding="utf-8"?>
<ThreadedComments xmlns="http://schemas.microsoft.com/office/spreadsheetml/2018/threadedcomments" xmlns:x="http://schemas.openxmlformats.org/spreadsheetml/2006/main">
  <threadedComment ref="B4" dT="2025-05-19T14:54:47.11" personId="{26DE7629-3D3F-47E0-88E7-C138E6B18983}" id="{73C507B0-17C2-466E-887D-0BA2B27B2DAD}">
    <text>Pen-level</text>
  </threadedComment>
  <threadedComment ref="B20" dT="2025-05-14T16:06:54.58" personId="{26DE7629-3D3F-47E0-88E7-C138E6B18983}" id="{8BA23224-C1EA-4AA1-BB05-509A4609A203}">
    <text>Thhe calculation says it’s supposed to be g/hd/day, but it’s not actually that, it’s % of BW as Nitrogen</text>
  </threadedComment>
  <threadedComment ref="B21" dT="2025-05-14T16:06:54.58" personId="{26DE7629-3D3F-47E0-88E7-C138E6B18983}" id="{7DCC6E04-9C27-4E5D-B18F-26B75106580C}">
    <text>Thhe calculation says it’s supposed to be g/hd/day, but it’s not actually that, it’s % of BW as Nitrogen</text>
  </threadedComment>
  <threadedComment ref="B22" dT="2025-05-19T14:26:33.56" personId="{26DE7629-3D3F-47E0-88E7-C138E6B18983}" id="{27489400-C876-46D8-B75F-32004028C77A}">
    <text>Need to treat DMI as KG/hd/day</text>
  </threadedComment>
  <threadedComment ref="A50" dT="2025-08-19T20:12:40.68" personId="{26DE7629-3D3F-47E0-88E7-C138E6B18983}" id="{37993227-32FA-4CB0-91B1-E86778E2A592}">
    <text>Removed this equation, double counting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 Id="rId4" Type="http://schemas.microsoft.com/office/2017/10/relationships/threadedComment" Target="../threadedComments/threadedComment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941CB-7F4E-49D4-91EE-4D2C4BFD66D9}">
  <sheetPr>
    <tabColor theme="4" tint="0.79998168889431442"/>
  </sheetPr>
  <dimension ref="B1:AC55"/>
  <sheetViews>
    <sheetView tabSelected="1" zoomScale="90" zoomScaleNormal="90" workbookViewId="0">
      <selection activeCell="B7" sqref="B7"/>
    </sheetView>
  </sheetViews>
  <sheetFormatPr defaultColWidth="9.125" defaultRowHeight="14.25"/>
  <cols>
    <col min="1" max="1" width="9.125" style="34"/>
    <col min="2" max="2" width="102.125" style="34" customWidth="1"/>
    <col min="3" max="16384" width="9.125" style="34"/>
  </cols>
  <sheetData>
    <row r="1" spans="2:29" ht="15" thickBot="1"/>
    <row r="2" spans="2:29" ht="15.75">
      <c r="B2" s="179"/>
    </row>
    <row r="3" spans="2:29" ht="25.5">
      <c r="B3" s="180" t="s">
        <v>342</v>
      </c>
    </row>
    <row r="4" spans="2:29" ht="15.75">
      <c r="B4" s="181"/>
    </row>
    <row r="5" spans="2:29" ht="15.75">
      <c r="B5" s="182" t="s">
        <v>343</v>
      </c>
    </row>
    <row r="6" spans="2:29">
      <c r="B6" s="183"/>
    </row>
    <row r="7" spans="2:29" ht="15">
      <c r="B7" s="184" t="s">
        <v>932</v>
      </c>
    </row>
    <row r="8" spans="2:29" ht="16.5" thickBot="1">
      <c r="B8" s="185" t="s">
        <v>925</v>
      </c>
    </row>
    <row r="9" spans="2:29">
      <c r="B9"/>
    </row>
    <row r="13" spans="2:29">
      <c r="AC13"/>
    </row>
    <row r="30" spans="2:17" ht="15" customHeight="1">
      <c r="B30" s="176" t="s">
        <v>340</v>
      </c>
      <c r="C30" s="176"/>
      <c r="D30" s="176"/>
      <c r="E30" s="176"/>
      <c r="F30" s="176"/>
      <c r="G30" s="35"/>
      <c r="H30" s="35"/>
      <c r="I30" s="35"/>
      <c r="J30" s="35"/>
      <c r="K30" s="35"/>
      <c r="L30" s="35"/>
    </row>
    <row r="31" spans="2:17" ht="48.75" customHeight="1">
      <c r="B31" s="177" t="s">
        <v>887</v>
      </c>
      <c r="Q31"/>
    </row>
    <row r="32" spans="2:17" ht="8.25" customHeight="1">
      <c r="B32" s="35"/>
    </row>
    <row r="33" spans="2:12" ht="15" customHeight="1">
      <c r="B33" s="176" t="s">
        <v>341</v>
      </c>
    </row>
    <row r="34" spans="2:12" ht="48.75" customHeight="1">
      <c r="B34" s="177" t="s">
        <v>926</v>
      </c>
    </row>
    <row r="35" spans="2:12">
      <c r="B35" s="35"/>
      <c r="C35" s="35"/>
      <c r="D35" s="35"/>
      <c r="E35" s="35"/>
      <c r="F35" s="35"/>
      <c r="G35" s="35"/>
      <c r="H35" s="35"/>
      <c r="I35" s="35"/>
      <c r="J35" s="35"/>
      <c r="K35" s="35"/>
      <c r="L35" s="35"/>
    </row>
    <row r="36" spans="2:12" ht="15">
      <c r="B36" s="178"/>
      <c r="C36" s="178"/>
      <c r="D36" s="178"/>
      <c r="E36" s="178"/>
      <c r="F36" s="178"/>
      <c r="G36" s="35"/>
      <c r="H36" s="35"/>
      <c r="I36" s="35"/>
      <c r="J36" s="35"/>
      <c r="K36" s="35"/>
      <c r="L36" s="35"/>
    </row>
    <row r="37" spans="2:12" ht="141.75" customHeight="1">
      <c r="B37" s="37"/>
      <c r="C37" s="37"/>
      <c r="D37" s="37"/>
      <c r="E37" s="37"/>
      <c r="F37" s="37"/>
      <c r="G37" s="37"/>
      <c r="H37" s="37"/>
      <c r="I37" s="37"/>
      <c r="J37" s="37"/>
      <c r="K37" s="37"/>
      <c r="L37" s="37"/>
    </row>
    <row r="38" spans="2:12">
      <c r="B38" s="35"/>
      <c r="C38" s="35"/>
      <c r="D38" s="35"/>
      <c r="E38" s="35"/>
      <c r="F38" s="35"/>
      <c r="G38" s="35"/>
      <c r="H38" s="35"/>
      <c r="I38" s="35"/>
      <c r="J38" s="35"/>
      <c r="K38" s="35"/>
      <c r="L38" s="35"/>
    </row>
    <row r="39" spans="2:12" ht="15">
      <c r="B39" s="178"/>
      <c r="C39" s="178"/>
      <c r="D39" s="178"/>
      <c r="E39" s="178"/>
      <c r="F39" s="178"/>
      <c r="G39" s="35"/>
      <c r="I39" s="35"/>
      <c r="J39" s="35"/>
      <c r="K39" s="35"/>
      <c r="L39" s="35"/>
    </row>
    <row r="40" spans="2:12" ht="80.25" customHeight="1">
      <c r="B40" s="37"/>
      <c r="C40" s="37"/>
      <c r="D40" s="37"/>
      <c r="E40" s="37"/>
      <c r="F40" s="37"/>
      <c r="G40" s="37"/>
      <c r="H40" s="36"/>
      <c r="I40" s="37"/>
      <c r="J40" s="37"/>
      <c r="K40" s="37"/>
      <c r="L40" s="37"/>
    </row>
    <row r="41" spans="2:12">
      <c r="B41" s="35"/>
      <c r="C41" s="35"/>
      <c r="D41" s="35"/>
      <c r="E41" s="35"/>
      <c r="F41" s="35"/>
      <c r="G41" s="35"/>
      <c r="I41" s="35"/>
      <c r="J41" s="35"/>
      <c r="K41" s="35"/>
      <c r="L41" s="35"/>
    </row>
    <row r="42" spans="2:12">
      <c r="B42" s="35"/>
      <c r="C42" s="35"/>
      <c r="D42" s="35"/>
      <c r="E42" s="35"/>
      <c r="F42" s="35"/>
      <c r="G42" s="35"/>
      <c r="H42" s="35"/>
      <c r="I42" s="35"/>
      <c r="J42" s="35"/>
      <c r="K42" s="35"/>
      <c r="L42" s="35"/>
    </row>
    <row r="43" spans="2:12">
      <c r="B43" s="35"/>
      <c r="C43" s="35"/>
      <c r="D43" s="35"/>
      <c r="E43" s="35"/>
      <c r="F43" s="35"/>
      <c r="G43" s="35"/>
      <c r="H43" s="35"/>
      <c r="I43" s="35"/>
      <c r="J43" s="35"/>
      <c r="K43" s="35"/>
      <c r="L43" s="35"/>
    </row>
    <row r="44" spans="2:12">
      <c r="B44" s="35"/>
      <c r="C44" s="35"/>
      <c r="D44" s="35"/>
      <c r="E44" s="35"/>
      <c r="F44" s="35"/>
      <c r="G44" s="35"/>
      <c r="H44" s="35"/>
      <c r="I44" s="35"/>
      <c r="J44" s="35"/>
      <c r="K44" s="35"/>
      <c r="L44" s="35"/>
    </row>
    <row r="45" spans="2:12">
      <c r="B45" s="35"/>
      <c r="C45" s="35"/>
      <c r="D45" s="35"/>
      <c r="E45" s="35"/>
      <c r="F45" s="35"/>
      <c r="G45" s="35"/>
      <c r="H45" s="35"/>
      <c r="I45" s="35"/>
      <c r="J45" s="35"/>
      <c r="K45" s="35"/>
      <c r="L45" s="35"/>
    </row>
    <row r="46" spans="2:12">
      <c r="B46" s="35"/>
      <c r="C46" s="35"/>
      <c r="D46" s="35"/>
      <c r="E46" s="35"/>
      <c r="F46" s="35"/>
      <c r="G46" s="35"/>
      <c r="H46" s="35"/>
      <c r="I46" s="35"/>
      <c r="J46" s="35"/>
      <c r="K46" s="35"/>
      <c r="L46" s="35"/>
    </row>
    <row r="47" spans="2:12">
      <c r="B47" s="35"/>
      <c r="C47" s="35"/>
      <c r="D47" s="35"/>
      <c r="E47" s="35"/>
      <c r="F47" s="35"/>
      <c r="G47" s="35"/>
      <c r="H47" s="35"/>
      <c r="I47" s="35"/>
      <c r="J47" s="35"/>
      <c r="K47" s="35"/>
      <c r="L47" s="35"/>
    </row>
    <row r="48" spans="2:12">
      <c r="B48" s="35"/>
      <c r="C48" s="35"/>
      <c r="D48" s="35"/>
      <c r="E48" s="35"/>
      <c r="F48" s="35"/>
      <c r="G48" s="35"/>
      <c r="H48" s="35"/>
      <c r="I48" s="35"/>
      <c r="J48" s="35"/>
      <c r="K48" s="35"/>
      <c r="L48" s="35"/>
    </row>
    <row r="49" spans="2:12">
      <c r="B49" s="35"/>
      <c r="C49" s="35"/>
      <c r="D49" s="35"/>
      <c r="E49" s="35"/>
      <c r="F49" s="35"/>
      <c r="G49" s="35"/>
      <c r="H49" s="35"/>
      <c r="I49" s="35"/>
      <c r="J49" s="35"/>
      <c r="K49" s="35"/>
      <c r="L49" s="35"/>
    </row>
    <row r="50" spans="2:12">
      <c r="B50" s="35"/>
      <c r="C50" s="35"/>
      <c r="D50" s="35"/>
      <c r="E50" s="35"/>
      <c r="F50" s="35"/>
      <c r="G50" s="35"/>
      <c r="H50" s="35"/>
      <c r="I50" s="35"/>
      <c r="J50" s="35"/>
      <c r="K50" s="35"/>
      <c r="L50" s="35"/>
    </row>
    <row r="51" spans="2:12">
      <c r="B51" s="35"/>
      <c r="C51" s="35"/>
      <c r="D51" s="35"/>
      <c r="E51" s="35"/>
      <c r="F51" s="35"/>
      <c r="G51" s="35"/>
      <c r="H51" s="35"/>
      <c r="I51" s="35"/>
      <c r="J51" s="35"/>
      <c r="K51" s="35"/>
      <c r="L51" s="35"/>
    </row>
    <row r="52" spans="2:12">
      <c r="B52" s="35"/>
      <c r="C52" s="35"/>
      <c r="D52" s="35"/>
      <c r="E52" s="35"/>
      <c r="F52" s="35"/>
      <c r="G52" s="35"/>
      <c r="H52" s="35"/>
      <c r="I52" s="35"/>
      <c r="J52" s="35"/>
      <c r="K52" s="35"/>
      <c r="L52" s="35"/>
    </row>
    <row r="53" spans="2:12">
      <c r="B53" s="35"/>
      <c r="C53" s="35"/>
      <c r="D53" s="35"/>
      <c r="E53" s="35"/>
      <c r="F53" s="35"/>
      <c r="G53" s="35"/>
      <c r="H53" s="35"/>
      <c r="I53" s="35"/>
      <c r="J53" s="35"/>
      <c r="K53" s="35"/>
      <c r="L53" s="35"/>
    </row>
    <row r="54" spans="2:12">
      <c r="B54" s="35"/>
      <c r="C54" s="35"/>
      <c r="D54" s="35"/>
      <c r="E54" s="35"/>
      <c r="F54" s="35"/>
      <c r="G54" s="35"/>
      <c r="H54" s="35"/>
      <c r="I54" s="35"/>
      <c r="J54" s="35"/>
      <c r="K54" s="35"/>
      <c r="L54" s="35"/>
    </row>
    <row r="55" spans="2:12">
      <c r="B55" s="35"/>
      <c r="C55" s="35"/>
      <c r="D55" s="35"/>
      <c r="E55" s="35"/>
      <c r="F55" s="35"/>
      <c r="G55" s="35"/>
      <c r="H55" s="35"/>
      <c r="I55" s="35"/>
      <c r="J55" s="35"/>
      <c r="K55" s="35"/>
      <c r="L55" s="35"/>
    </row>
  </sheetData>
  <sheetProtection algorithmName="SHA-512" hashValue="8ZSdwCr/OMK7LKhecAZuey8MQQ38IgnhizYmaHO8AFGWn0bRNuTU3E4gnE8Af4gu44AsGsfnnLdXC7nWMeg/8A==" saltValue="dv3joFWe8jJR55wU5G9qJ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DDEA0-B89A-4848-A900-95450042604D}">
  <sheetPr>
    <tabColor rgb="FF8FE993"/>
  </sheetPr>
  <dimension ref="A1:M81"/>
  <sheetViews>
    <sheetView topLeftCell="A52" zoomScale="70" zoomScaleNormal="70" workbookViewId="0">
      <selection activeCell="J45" sqref="J45"/>
    </sheetView>
  </sheetViews>
  <sheetFormatPr defaultColWidth="11.75" defaultRowHeight="16.5" customHeight="1"/>
  <cols>
    <col min="2" max="2" width="109.625" style="11" customWidth="1"/>
    <col min="3" max="3" width="12.625" bestFit="1" customWidth="1"/>
    <col min="9" max="9" width="16.125" customWidth="1"/>
    <col min="18" max="18" width="16.25" bestFit="1" customWidth="1"/>
  </cols>
  <sheetData>
    <row r="1" spans="1:13" ht="16.5" customHeight="1">
      <c r="A1" s="214" t="s">
        <v>376</v>
      </c>
      <c r="B1" s="214"/>
      <c r="C1" s="214"/>
      <c r="D1" s="214"/>
    </row>
    <row r="2" spans="1:13" ht="16.5" customHeight="1">
      <c r="A2" s="215" t="s">
        <v>189</v>
      </c>
      <c r="B2" s="216"/>
      <c r="C2" s="216"/>
      <c r="D2" s="217"/>
      <c r="M2" s="19" t="s">
        <v>368</v>
      </c>
    </row>
    <row r="3" spans="1:13" ht="16.5" customHeight="1">
      <c r="A3" s="207" t="s">
        <v>11</v>
      </c>
      <c r="B3" s="208"/>
      <c r="C3" s="208"/>
      <c r="D3" s="209"/>
      <c r="L3" s="48" t="s">
        <v>104</v>
      </c>
      <c r="M3">
        <v>27.2</v>
      </c>
    </row>
    <row r="4" spans="1:13" ht="16.5" customHeight="1">
      <c r="A4" s="26"/>
      <c r="D4" s="27"/>
      <c r="L4" s="48" t="s">
        <v>369</v>
      </c>
      <c r="M4">
        <v>273</v>
      </c>
    </row>
    <row r="5" spans="1:13" ht="16.5" customHeight="1">
      <c r="A5" s="26" t="s">
        <v>12</v>
      </c>
      <c r="B5" s="11" t="s">
        <v>414</v>
      </c>
      <c r="C5" s="138">
        <f>C6*C7</f>
        <v>5079.1008702551935</v>
      </c>
      <c r="D5" s="27" t="s">
        <v>13</v>
      </c>
      <c r="L5" s="48" t="s">
        <v>370</v>
      </c>
      <c r="M5">
        <v>1</v>
      </c>
    </row>
    <row r="6" spans="1:13" ht="16.5" customHeight="1">
      <c r="A6" s="26" t="s">
        <v>14</v>
      </c>
      <c r="B6" s="11" t="s">
        <v>15</v>
      </c>
      <c r="C6" s="150">
        <f>C12</f>
        <v>71.536631975425266</v>
      </c>
      <c r="D6" s="27" t="s">
        <v>16</v>
      </c>
    </row>
    <row r="7" spans="1:13" ht="16.5" customHeight="1">
      <c r="A7" s="28" t="s">
        <v>17</v>
      </c>
      <c r="B7" s="29" t="s">
        <v>18</v>
      </c>
      <c r="C7" s="146">
        <f>'User Inputs'!B5</f>
        <v>71</v>
      </c>
      <c r="D7" s="30" t="s">
        <v>16</v>
      </c>
    </row>
    <row r="8" spans="1:13" ht="16.5" customHeight="1">
      <c r="G8" s="1"/>
      <c r="H8" s="213" t="s">
        <v>377</v>
      </c>
      <c r="I8" s="213"/>
    </row>
    <row r="9" spans="1:13" ht="16.5" customHeight="1">
      <c r="A9" s="210" t="s">
        <v>190</v>
      </c>
      <c r="B9" s="211"/>
      <c r="C9" s="211"/>
      <c r="D9" s="212"/>
      <c r="G9" s="1"/>
      <c r="H9" s="1" t="s">
        <v>191</v>
      </c>
      <c r="I9" s="1" t="s">
        <v>379</v>
      </c>
      <c r="J9" s="1" t="s">
        <v>380</v>
      </c>
    </row>
    <row r="10" spans="1:13" ht="16.5" customHeight="1">
      <c r="A10" s="207" t="s">
        <v>19</v>
      </c>
      <c r="B10" s="208"/>
      <c r="C10" s="208"/>
      <c r="D10" s="209"/>
      <c r="G10" s="1" t="s">
        <v>378</v>
      </c>
      <c r="H10" s="49">
        <f>C5</f>
        <v>5079.1008702551935</v>
      </c>
      <c r="I10" s="83">
        <f>'Ration Info'!C10</f>
        <v>232</v>
      </c>
      <c r="J10" s="18">
        <f>I10*H10</f>
        <v>1178351.4018992048</v>
      </c>
      <c r="K10" s="31"/>
    </row>
    <row r="11" spans="1:13" ht="16.5" customHeight="1">
      <c r="A11" s="26"/>
      <c r="D11" s="27"/>
      <c r="I11" t="s">
        <v>381</v>
      </c>
      <c r="J11" s="50">
        <f>SUM(J10:J10)</f>
        <v>1178351.4018992048</v>
      </c>
    </row>
    <row r="12" spans="1:13" ht="16.5" customHeight="1">
      <c r="A12" s="26" t="s">
        <v>14</v>
      </c>
      <c r="B12" s="11" t="s">
        <v>15</v>
      </c>
      <c r="C12" s="139">
        <f>(C13*(C14/100))/C15</f>
        <v>71.536631975425266</v>
      </c>
      <c r="D12" s="27" t="s">
        <v>13</v>
      </c>
      <c r="I12" t="s">
        <v>382</v>
      </c>
      <c r="J12" s="18">
        <f>J11/1000</f>
        <v>1178.3514018992048</v>
      </c>
    </row>
    <row r="13" spans="1:13" ht="16.5" customHeight="1">
      <c r="A13" s="26" t="s">
        <v>20</v>
      </c>
      <c r="B13" s="11" t="s">
        <v>21</v>
      </c>
      <c r="C13" s="22">
        <f>'Enteric CH4'!C21</f>
        <v>128.39908303281462</v>
      </c>
      <c r="D13" s="27" t="s">
        <v>147</v>
      </c>
      <c r="I13" t="s">
        <v>383</v>
      </c>
      <c r="J13" s="51">
        <f>J12*M3</f>
        <v>32051.158131658369</v>
      </c>
    </row>
    <row r="14" spans="1:13" ht="16.5" customHeight="1">
      <c r="A14" s="26" t="s">
        <v>22</v>
      </c>
      <c r="B14" s="11" t="s">
        <v>23</v>
      </c>
      <c r="C14" s="146">
        <f>'BG Inputs'!C3</f>
        <v>3.1199999999999997</v>
      </c>
      <c r="D14" s="27" t="s">
        <v>16</v>
      </c>
    </row>
    <row r="15" spans="1:13" ht="16.5" customHeight="1">
      <c r="A15" s="28">
        <v>5.6000000000000001E-2</v>
      </c>
      <c r="B15" s="29" t="s">
        <v>24</v>
      </c>
      <c r="C15" s="3">
        <v>5.6000000000000001E-2</v>
      </c>
      <c r="D15" s="30" t="s">
        <v>25</v>
      </c>
    </row>
    <row r="18" spans="1:4" ht="16.5" customHeight="1">
      <c r="A18" s="206" t="s">
        <v>192</v>
      </c>
      <c r="B18" s="206"/>
      <c r="C18" s="206"/>
      <c r="D18" s="206"/>
    </row>
    <row r="19" spans="1:4" ht="16.5" customHeight="1">
      <c r="A19" s="207" t="s">
        <v>45</v>
      </c>
      <c r="B19" s="208"/>
      <c r="C19" s="208"/>
      <c r="D19" s="209"/>
    </row>
    <row r="21" spans="1:4" ht="16.5" customHeight="1">
      <c r="A21" t="s">
        <v>20</v>
      </c>
      <c r="B21" s="11" t="s">
        <v>21</v>
      </c>
      <c r="C21" s="140">
        <f>(((C22+C23+C25+C26)/C27)+(C28/C29))/(C30/100)</f>
        <v>128.39908303281462</v>
      </c>
      <c r="D21" t="s">
        <v>13</v>
      </c>
    </row>
    <row r="22" spans="1:4" ht="16.5" customHeight="1">
      <c r="A22" t="s">
        <v>46</v>
      </c>
      <c r="B22" s="11" t="s">
        <v>47</v>
      </c>
      <c r="C22" s="149">
        <f>C36</f>
        <v>30.039158780941108</v>
      </c>
      <c r="D22" t="s">
        <v>16</v>
      </c>
    </row>
    <row r="23" spans="1:4" ht="16.5" customHeight="1">
      <c r="A23" t="s">
        <v>48</v>
      </c>
      <c r="B23" s="11" t="s">
        <v>49</v>
      </c>
      <c r="C23" s="22">
        <f>C43</f>
        <v>0</v>
      </c>
      <c r="D23" t="s">
        <v>147</v>
      </c>
    </row>
    <row r="24" spans="1:4" ht="16.5" customHeight="1">
      <c r="A24" t="s">
        <v>50</v>
      </c>
      <c r="B24" s="11" t="s">
        <v>51</v>
      </c>
      <c r="C24" s="3">
        <v>0</v>
      </c>
      <c r="D24" t="s">
        <v>25</v>
      </c>
    </row>
    <row r="25" spans="1:4" ht="16.5" customHeight="1">
      <c r="A25" t="s">
        <v>52</v>
      </c>
      <c r="B25" s="11" t="s">
        <v>53</v>
      </c>
      <c r="C25" s="22">
        <v>0</v>
      </c>
      <c r="D25" t="s">
        <v>147</v>
      </c>
    </row>
    <row r="26" spans="1:4" ht="16.5" customHeight="1">
      <c r="A26" t="s">
        <v>54</v>
      </c>
      <c r="B26" s="11" t="s">
        <v>55</v>
      </c>
      <c r="C26" s="3">
        <v>0</v>
      </c>
      <c r="D26" t="s">
        <v>25</v>
      </c>
    </row>
    <row r="27" spans="1:4" ht="16.5" customHeight="1">
      <c r="A27" t="s">
        <v>56</v>
      </c>
      <c r="B27" s="11" t="s">
        <v>57</v>
      </c>
      <c r="C27" s="22">
        <f>C60</f>
        <v>0.66463914055187001</v>
      </c>
      <c r="D27" t="s">
        <v>147</v>
      </c>
    </row>
    <row r="28" spans="1:4" ht="16.5" customHeight="1">
      <c r="A28" t="s">
        <v>58</v>
      </c>
      <c r="B28" s="11" t="s">
        <v>59</v>
      </c>
      <c r="C28" s="22">
        <f>C50</f>
        <v>24.258776642765216</v>
      </c>
      <c r="D28" t="s">
        <v>147</v>
      </c>
    </row>
    <row r="29" spans="1:4" ht="16.5" customHeight="1">
      <c r="A29" t="s">
        <v>60</v>
      </c>
      <c r="B29" s="11" t="s">
        <v>61</v>
      </c>
      <c r="C29" s="22">
        <f>C67</f>
        <v>0.37978440375967443</v>
      </c>
      <c r="D29" t="s">
        <v>147</v>
      </c>
    </row>
    <row r="30" spans="1:4" ht="16.5" customHeight="1">
      <c r="A30" t="s">
        <v>62</v>
      </c>
      <c r="B30" s="11" t="s">
        <v>63</v>
      </c>
      <c r="C30" s="149">
        <f>'Ration Info'!C7</f>
        <v>84.947116666666673</v>
      </c>
      <c r="D30" t="s">
        <v>16</v>
      </c>
    </row>
    <row r="34" spans="1:4" ht="16.5" customHeight="1">
      <c r="A34" s="207" t="s">
        <v>64</v>
      </c>
      <c r="B34" s="208"/>
      <c r="C34" s="208"/>
      <c r="D34" s="209"/>
    </row>
    <row r="36" spans="1:4" ht="16.5" customHeight="1">
      <c r="A36" t="s">
        <v>46</v>
      </c>
      <c r="B36" s="11" t="s">
        <v>65</v>
      </c>
      <c r="C36" s="139">
        <f>C37*(C38^0.75)</f>
        <v>30.039158780941108</v>
      </c>
      <c r="D36" t="s">
        <v>13</v>
      </c>
    </row>
    <row r="37" spans="1:4" ht="16.5" customHeight="1">
      <c r="A37" t="s">
        <v>66</v>
      </c>
      <c r="B37" s="11" t="s">
        <v>67</v>
      </c>
      <c r="C37" s="3">
        <v>0.32200000000000001</v>
      </c>
      <c r="D37" t="s">
        <v>25</v>
      </c>
    </row>
    <row r="38" spans="1:4" ht="16.5" customHeight="1">
      <c r="A38" t="s">
        <v>68</v>
      </c>
      <c r="B38" s="11" t="s">
        <v>69</v>
      </c>
      <c r="C38" s="151">
        <f>'BG Inputs'!C6</f>
        <v>423.09951391449925</v>
      </c>
      <c r="D38" t="s">
        <v>16</v>
      </c>
    </row>
    <row r="41" spans="1:4" ht="16.5" customHeight="1">
      <c r="A41" s="207" t="s">
        <v>70</v>
      </c>
      <c r="B41" s="208"/>
      <c r="C41" s="208"/>
      <c r="D41" s="209"/>
    </row>
    <row r="43" spans="1:4" ht="16.5" customHeight="1">
      <c r="A43" t="s">
        <v>71</v>
      </c>
      <c r="B43" s="11" t="s">
        <v>72</v>
      </c>
      <c r="C43" s="139">
        <f>C44*C45</f>
        <v>0</v>
      </c>
      <c r="D43" t="s">
        <v>13</v>
      </c>
    </row>
    <row r="44" spans="1:4" ht="16.5" customHeight="1">
      <c r="A44" t="s">
        <v>73</v>
      </c>
      <c r="B44" s="11" t="s">
        <v>74</v>
      </c>
      <c r="C44" s="3">
        <v>0</v>
      </c>
      <c r="D44" t="s">
        <v>25</v>
      </c>
    </row>
    <row r="45" spans="1:4" ht="16.5" customHeight="1">
      <c r="A45" t="s">
        <v>96</v>
      </c>
      <c r="B45" s="11" t="s">
        <v>75</v>
      </c>
      <c r="C45" s="22">
        <f>C36</f>
        <v>30.039158780941108</v>
      </c>
      <c r="D45" t="s">
        <v>147</v>
      </c>
    </row>
    <row r="48" spans="1:4" ht="16.5" customHeight="1">
      <c r="A48" s="207" t="s">
        <v>76</v>
      </c>
      <c r="B48" s="208"/>
      <c r="C48" s="208"/>
      <c r="D48" s="209"/>
    </row>
    <row r="50" spans="1:4" ht="16.5" customHeight="1">
      <c r="A50" t="s">
        <v>77</v>
      </c>
      <c r="B50" s="11" t="s">
        <v>78</v>
      </c>
      <c r="C50" s="14">
        <f>22.02*((C51/(C52*C53))^0.75)*(C54^1.097)</f>
        <v>24.258776642765216</v>
      </c>
      <c r="D50" t="s">
        <v>13</v>
      </c>
    </row>
    <row r="51" spans="1:4" ht="16.5" customHeight="1">
      <c r="A51" t="s">
        <v>79</v>
      </c>
      <c r="B51" s="11" t="s">
        <v>80</v>
      </c>
      <c r="C51" s="151">
        <f>'BG Inputs'!C5</f>
        <v>423.09951391449925</v>
      </c>
      <c r="D51" t="s">
        <v>16</v>
      </c>
    </row>
    <row r="52" spans="1:4" ht="16.5" customHeight="1">
      <c r="A52" t="s">
        <v>81</v>
      </c>
      <c r="B52" s="11" t="s">
        <v>82</v>
      </c>
      <c r="C52" s="16">
        <f>IF('BG Inputs'!C4="steer", 1, 0.8)</f>
        <v>0.8</v>
      </c>
      <c r="D52" t="s">
        <v>25</v>
      </c>
    </row>
    <row r="53" spans="1:4" ht="16.5" customHeight="1">
      <c r="A53" t="s">
        <v>83</v>
      </c>
      <c r="B53" s="11" t="s">
        <v>84</v>
      </c>
      <c r="C53" s="151">
        <f>'BG Inputs'!C7</f>
        <v>578.38787078111113</v>
      </c>
      <c r="D53" t="s">
        <v>16</v>
      </c>
    </row>
    <row r="54" spans="1:4" ht="16.5" customHeight="1">
      <c r="A54" t="s">
        <v>85</v>
      </c>
      <c r="B54" s="11" t="s">
        <v>86</v>
      </c>
      <c r="C54" s="150">
        <f>'BG Inputs'!C8</f>
        <v>1.1611964672000001</v>
      </c>
      <c r="D54" t="s">
        <v>16</v>
      </c>
    </row>
    <row r="58" spans="1:4" ht="16.5" customHeight="1">
      <c r="A58" s="203" t="s">
        <v>88</v>
      </c>
      <c r="B58" s="204"/>
      <c r="C58" s="204"/>
      <c r="D58" s="205"/>
    </row>
    <row r="59" spans="1:4" ht="16.5" customHeight="1">
      <c r="A59" s="11"/>
      <c r="C59" s="11"/>
      <c r="D59" s="11"/>
    </row>
    <row r="60" spans="1:4" ht="16.5" customHeight="1">
      <c r="A60" s="11" t="s">
        <v>56</v>
      </c>
      <c r="B60" s="11" t="s">
        <v>89</v>
      </c>
      <c r="C60" s="141">
        <f>(1.23-(0.004092*C61)+(0.00001126*(C61^2))-(25.4/C61))</f>
        <v>0.66463914055187001</v>
      </c>
      <c r="D60" s="11" t="s">
        <v>13</v>
      </c>
    </row>
    <row r="61" spans="1:4" ht="16.5" customHeight="1">
      <c r="A61" s="11" t="s">
        <v>62</v>
      </c>
      <c r="B61" s="11" t="s">
        <v>90</v>
      </c>
      <c r="C61" s="149">
        <f>C30</f>
        <v>84.947116666666673</v>
      </c>
      <c r="D61" t="s">
        <v>16</v>
      </c>
    </row>
    <row r="62" spans="1:4" ht="16.5" customHeight="1">
      <c r="A62" s="11"/>
    </row>
    <row r="63" spans="1:4" ht="16.5" customHeight="1">
      <c r="A63" s="11"/>
    </row>
    <row r="65" spans="1:4" ht="16.5" customHeight="1">
      <c r="A65" s="203" t="s">
        <v>91</v>
      </c>
      <c r="B65" s="204"/>
      <c r="C65" s="204"/>
      <c r="D65" s="205"/>
    </row>
    <row r="66" spans="1:4" ht="16.5" customHeight="1">
      <c r="A66" s="11"/>
      <c r="C66" s="11"/>
      <c r="D66" s="11"/>
    </row>
    <row r="67" spans="1:4" ht="16.5" customHeight="1">
      <c r="A67" s="11" t="s">
        <v>60</v>
      </c>
      <c r="B67" s="11" t="s">
        <v>92</v>
      </c>
      <c r="C67" s="141">
        <f>1.164-(0.00516*C68)+(0.00001308*(C68^2))-(37.4/C68)</f>
        <v>0.37978440375967443</v>
      </c>
      <c r="D67" s="11" t="s">
        <v>13</v>
      </c>
    </row>
    <row r="68" spans="1:4" ht="16.5" customHeight="1">
      <c r="A68" s="11" t="s">
        <v>62</v>
      </c>
      <c r="B68" s="11" t="s">
        <v>90</v>
      </c>
      <c r="C68" s="149">
        <f>C30</f>
        <v>84.947116666666673</v>
      </c>
      <c r="D68" t="s">
        <v>16</v>
      </c>
    </row>
    <row r="69" spans="1:4" ht="16.5" customHeight="1">
      <c r="A69" s="11"/>
    </row>
    <row r="70" spans="1:4" ht="16.5" customHeight="1">
      <c r="A70" s="11"/>
    </row>
    <row r="73" spans="1:4" ht="16.5" customHeight="1">
      <c r="A73" s="203" t="s">
        <v>93</v>
      </c>
      <c r="B73" s="204"/>
      <c r="C73" s="204"/>
      <c r="D73" s="205"/>
    </row>
    <row r="74" spans="1:4" ht="16.5" customHeight="1">
      <c r="A74" s="11"/>
      <c r="C74" s="11"/>
      <c r="D74" s="11"/>
    </row>
    <row r="75" spans="1:4" ht="16.5" customHeight="1">
      <c r="A75" s="11" t="s">
        <v>94</v>
      </c>
      <c r="B75" s="11" t="s">
        <v>95</v>
      </c>
      <c r="C75" s="141">
        <f>(((C76+C77)/(C79))+(C50/C80))/C81</f>
        <v>1.2839908303281462</v>
      </c>
      <c r="D75" s="11" t="s">
        <v>13</v>
      </c>
    </row>
    <row r="76" spans="1:4" ht="16.5" customHeight="1">
      <c r="A76" s="11" t="s">
        <v>96</v>
      </c>
      <c r="B76" s="11" t="s">
        <v>97</v>
      </c>
      <c r="C76" s="22">
        <f>C36</f>
        <v>30.039158780941108</v>
      </c>
      <c r="D76" t="s">
        <v>147</v>
      </c>
    </row>
    <row r="77" spans="1:4" ht="16.5" customHeight="1">
      <c r="A77" s="11" t="s">
        <v>71</v>
      </c>
      <c r="B77" s="11" t="s">
        <v>98</v>
      </c>
      <c r="C77" s="22">
        <f>C43</f>
        <v>0</v>
      </c>
      <c r="D77" t="s">
        <v>147</v>
      </c>
    </row>
    <row r="78" spans="1:4" ht="16.5" customHeight="1">
      <c r="A78" s="11" t="s">
        <v>52</v>
      </c>
      <c r="B78" s="17" t="s">
        <v>99</v>
      </c>
      <c r="C78" s="146">
        <v>0</v>
      </c>
      <c r="D78" t="s">
        <v>16</v>
      </c>
    </row>
    <row r="79" spans="1:4" ht="16.5" customHeight="1">
      <c r="A79" s="11" t="s">
        <v>56</v>
      </c>
      <c r="B79" s="11" t="s">
        <v>100</v>
      </c>
      <c r="C79" s="22">
        <f>C60</f>
        <v>0.66463914055187001</v>
      </c>
      <c r="D79" t="s">
        <v>147</v>
      </c>
    </row>
    <row r="80" spans="1:4" ht="16.5" customHeight="1">
      <c r="A80" s="11" t="s">
        <v>60</v>
      </c>
      <c r="B80" s="11" t="s">
        <v>101</v>
      </c>
      <c r="C80" s="22">
        <f>C67</f>
        <v>0.37978440375967443</v>
      </c>
      <c r="D80" t="s">
        <v>147</v>
      </c>
    </row>
    <row r="81" spans="1:4" ht="16.5" customHeight="1">
      <c r="A81" s="11" t="s">
        <v>62</v>
      </c>
      <c r="B81" s="11" t="s">
        <v>102</v>
      </c>
      <c r="C81" s="149">
        <f>C30</f>
        <v>84.947116666666673</v>
      </c>
      <c r="D81" t="s">
        <v>16</v>
      </c>
    </row>
  </sheetData>
  <sheetProtection algorithmName="SHA-512" hashValue="RZlPVuSSBhhEf4JPQdU1mNcKSNAYygOyqdp4aPiQ4kncYrLnBu59taffMjU7E3cGJZwAcO4mVNNBqoanfZbgeQ==" saltValue="XpQExV3PkgVQ4kCi4hQy8g==" spinCount="100000" sheet="1" objects="1" scenarios="1"/>
  <mergeCells count="14">
    <mergeCell ref="A9:D9"/>
    <mergeCell ref="A10:D10"/>
    <mergeCell ref="H8:I8"/>
    <mergeCell ref="A1:D1"/>
    <mergeCell ref="A2:D2"/>
    <mergeCell ref="A3:D3"/>
    <mergeCell ref="A65:D65"/>
    <mergeCell ref="A73:D73"/>
    <mergeCell ref="A18:D18"/>
    <mergeCell ref="A19:D19"/>
    <mergeCell ref="A34:D34"/>
    <mergeCell ref="A41:D41"/>
    <mergeCell ref="A48:D48"/>
    <mergeCell ref="A58:D58"/>
  </mergeCells>
  <phoneticPr fontId="24"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1148-D5A6-427E-A112-2FA0C6BE75D7}">
  <sheetPr>
    <tabColor rgb="FF8FE993"/>
  </sheetPr>
  <dimension ref="A1:K95"/>
  <sheetViews>
    <sheetView workbookViewId="0">
      <selection activeCell="G13" sqref="G13"/>
    </sheetView>
  </sheetViews>
  <sheetFormatPr defaultRowHeight="14.25"/>
  <cols>
    <col min="1" max="1" width="13.375" bestFit="1" customWidth="1"/>
    <col min="2" max="2" width="51.375" style="11" customWidth="1"/>
    <col min="3" max="3" width="12" bestFit="1" customWidth="1"/>
    <col min="4" max="4" width="23.625" bestFit="1" customWidth="1"/>
    <col min="5" max="5" width="15.25" bestFit="1" customWidth="1"/>
    <col min="6" max="6" width="13.875" bestFit="1" customWidth="1"/>
  </cols>
  <sheetData>
    <row r="1" spans="1:9" ht="15">
      <c r="A1" s="206" t="s">
        <v>332</v>
      </c>
      <c r="B1" s="206"/>
      <c r="C1" s="206"/>
      <c r="D1" s="206"/>
      <c r="E1" s="19"/>
    </row>
    <row r="2" spans="1:9">
      <c r="A2" s="207" t="s">
        <v>142</v>
      </c>
      <c r="B2" s="208"/>
      <c r="C2" s="208"/>
      <c r="D2" s="209"/>
    </row>
    <row r="3" spans="1:9" ht="75" customHeight="1">
      <c r="E3" s="218" t="s">
        <v>902</v>
      </c>
      <c r="F3" s="218"/>
      <c r="G3" s="218"/>
    </row>
    <row r="4" spans="1:9">
      <c r="A4" t="s">
        <v>143</v>
      </c>
      <c r="B4" s="11" t="s">
        <v>144</v>
      </c>
      <c r="C4" s="143">
        <f>C5*C6*C7*C8*(C9/100)</f>
        <v>0.28557318240349477</v>
      </c>
      <c r="D4" t="s">
        <v>13</v>
      </c>
      <c r="E4" s="24" t="s">
        <v>366</v>
      </c>
      <c r="F4" s="24">
        <f>C4*G12</f>
        <v>77.961478796154069</v>
      </c>
      <c r="I4" s="143">
        <f>C6*C7*C8*(C9/100)</f>
        <v>4.0221574986407712E-3</v>
      </c>
    </row>
    <row r="5" spans="1:9">
      <c r="A5" t="s">
        <v>122</v>
      </c>
      <c r="B5" s="11" t="s">
        <v>123</v>
      </c>
      <c r="C5" s="146">
        <f>'User Inputs'!B5</f>
        <v>71</v>
      </c>
      <c r="D5" t="s">
        <v>16</v>
      </c>
      <c r="E5" t="s">
        <v>901</v>
      </c>
      <c r="F5" s="151">
        <f>('BG Inputs'!C19/'User Inputs'!B6)</f>
        <v>238.30158730158729</v>
      </c>
      <c r="G5" t="s">
        <v>16</v>
      </c>
      <c r="I5">
        <f>I4*G12</f>
        <v>1.0980489971289304</v>
      </c>
    </row>
    <row r="6" spans="1:9">
      <c r="A6" t="s">
        <v>145</v>
      </c>
      <c r="B6" s="11" t="s">
        <v>146</v>
      </c>
      <c r="C6" s="22">
        <f>C14</f>
        <v>0.12797773859311545</v>
      </c>
      <c r="D6" t="s">
        <v>147</v>
      </c>
      <c r="E6" t="s">
        <v>371</v>
      </c>
      <c r="F6" s="69">
        <f>F5*F4</f>
        <v>18578.344145502557</v>
      </c>
      <c r="I6">
        <f>I5*F5</f>
        <v>261.66681895074021</v>
      </c>
    </row>
    <row r="7" spans="1:9">
      <c r="A7" t="s">
        <v>148</v>
      </c>
      <c r="B7" s="11" t="s">
        <v>149</v>
      </c>
      <c r="C7" s="23">
        <v>0.02</v>
      </c>
      <c r="D7" t="s">
        <v>167</v>
      </c>
      <c r="E7" t="s">
        <v>367</v>
      </c>
      <c r="F7" s="146">
        <f>'User Inputs'!B5</f>
        <v>71</v>
      </c>
      <c r="G7" t="s">
        <v>16</v>
      </c>
      <c r="I7" s="75"/>
    </row>
    <row r="8" spans="1:9">
      <c r="A8" t="s">
        <v>150</v>
      </c>
      <c r="B8" s="11" t="s">
        <v>895</v>
      </c>
      <c r="C8" s="3">
        <f>(44/28)</f>
        <v>1.5714285714285714</v>
      </c>
      <c r="D8" t="s">
        <v>25</v>
      </c>
      <c r="E8" t="s">
        <v>372</v>
      </c>
      <c r="F8">
        <f>F6/F7</f>
        <v>261.66681895074026</v>
      </c>
    </row>
    <row r="9" spans="1:9" ht="42.75">
      <c r="A9" t="s">
        <v>124</v>
      </c>
      <c r="B9" s="11" t="s">
        <v>125</v>
      </c>
      <c r="C9" s="3">
        <v>100</v>
      </c>
      <c r="D9" t="s">
        <v>25</v>
      </c>
      <c r="H9">
        <f>F4*80</f>
        <v>6236.9183036923259</v>
      </c>
    </row>
    <row r="10" spans="1:9" ht="15">
      <c r="G10" s="19" t="s">
        <v>368</v>
      </c>
    </row>
    <row r="11" spans="1:9" ht="15">
      <c r="A11" s="222" t="s">
        <v>333</v>
      </c>
      <c r="B11" s="222"/>
      <c r="C11" s="222"/>
      <c r="D11" s="222"/>
      <c r="F11" s="48" t="s">
        <v>104</v>
      </c>
      <c r="G11">
        <v>27.2</v>
      </c>
    </row>
    <row r="12" spans="1:9" ht="15">
      <c r="A12" s="207" t="s">
        <v>151</v>
      </c>
      <c r="B12" s="208"/>
      <c r="C12" s="208"/>
      <c r="D12" s="209"/>
      <c r="F12" s="48" t="s">
        <v>369</v>
      </c>
      <c r="G12">
        <v>273</v>
      </c>
    </row>
    <row r="13" spans="1:9" ht="15">
      <c r="F13" s="48" t="s">
        <v>370</v>
      </c>
      <c r="G13">
        <v>1</v>
      </c>
    </row>
    <row r="14" spans="1:9">
      <c r="A14" t="s">
        <v>145</v>
      </c>
      <c r="B14" s="11" t="s">
        <v>146</v>
      </c>
      <c r="C14" s="143">
        <f>((0.51*(C15-14.12))+((0.2*C15)+15.82))/1000</f>
        <v>0.12797773859311545</v>
      </c>
      <c r="D14" t="s">
        <v>13</v>
      </c>
    </row>
    <row r="15" spans="1:9">
      <c r="A15" t="s">
        <v>152</v>
      </c>
      <c r="B15" s="11" t="s">
        <v>153</v>
      </c>
      <c r="C15" s="22">
        <f>C20</f>
        <v>168.11118111706401</v>
      </c>
      <c r="D15" t="s">
        <v>147</v>
      </c>
    </row>
    <row r="17" spans="1:9" ht="15">
      <c r="A17" s="223" t="s">
        <v>159</v>
      </c>
      <c r="B17" s="223"/>
      <c r="C17" s="223"/>
      <c r="D17" s="223"/>
      <c r="G17">
        <f>0.057*265</f>
        <v>15.105</v>
      </c>
      <c r="H17">
        <v>29230</v>
      </c>
    </row>
    <row r="18" spans="1:9" ht="15">
      <c r="A18" s="219" t="s">
        <v>154</v>
      </c>
      <c r="B18" s="220"/>
      <c r="C18" s="220"/>
      <c r="D18" s="221"/>
      <c r="E18" s="19"/>
      <c r="H18">
        <f>H17/G17</f>
        <v>1935.120820920225</v>
      </c>
    </row>
    <row r="20" spans="1:9">
      <c r="A20" t="s">
        <v>152</v>
      </c>
      <c r="B20" s="11" t="s">
        <v>153</v>
      </c>
      <c r="C20" s="139">
        <f>(F20/F22)*(C23/100)*(1000/6.25)</f>
        <v>168.11118111706401</v>
      </c>
      <c r="D20" t="s">
        <v>13</v>
      </c>
      <c r="E20" t="s">
        <v>898</v>
      </c>
      <c r="F20" s="18">
        <f>'BG Inputs'!C22</f>
        <v>113075.58832492999</v>
      </c>
      <c r="H20" t="s">
        <v>903</v>
      </c>
      <c r="I20" s="148">
        <f>F20/F22</f>
        <v>7.5318449560334377</v>
      </c>
    </row>
    <row r="21" spans="1:9">
      <c r="A21" t="s">
        <v>152</v>
      </c>
      <c r="B21" s="11" t="s">
        <v>153</v>
      </c>
      <c r="C21" s="139">
        <f>C22*((C23/100)/6.25)</f>
        <v>3.9733248464812986E-2</v>
      </c>
      <c r="D21" t="s">
        <v>13</v>
      </c>
      <c r="E21" t="s">
        <v>899</v>
      </c>
      <c r="F21" s="18">
        <f>'BG Inputs'!C5</f>
        <v>423.09951391449925</v>
      </c>
      <c r="H21" t="s">
        <v>152</v>
      </c>
      <c r="I21" s="18">
        <f>I20*(C23/100)*(1000/6.25)</f>
        <v>168.11118111706401</v>
      </c>
    </row>
    <row r="22" spans="1:9">
      <c r="A22" t="s">
        <v>155</v>
      </c>
      <c r="B22" s="11" t="s">
        <v>897</v>
      </c>
      <c r="C22" s="22">
        <f>F23</f>
        <v>1.7801592080192008</v>
      </c>
      <c r="D22" t="s">
        <v>147</v>
      </c>
      <c r="E22" t="s">
        <v>900</v>
      </c>
      <c r="F22" s="142">
        <f>'BG Inputs'!C19</f>
        <v>15013</v>
      </c>
    </row>
    <row r="23" spans="1:9">
      <c r="A23" t="s">
        <v>157</v>
      </c>
      <c r="B23" s="11" t="s">
        <v>158</v>
      </c>
      <c r="C23" s="22">
        <f>'Ration Info'!C9</f>
        <v>13.950033333333334</v>
      </c>
      <c r="D23" t="s">
        <v>147</v>
      </c>
      <c r="E23" t="s">
        <v>896</v>
      </c>
      <c r="F23">
        <f>(F20/(F22*F21))*100</f>
        <v>1.7801592080192008</v>
      </c>
    </row>
    <row r="24" spans="1:9" ht="15">
      <c r="E24" s="19"/>
    </row>
    <row r="25" spans="1:9" ht="15">
      <c r="A25" s="222" t="s">
        <v>334</v>
      </c>
      <c r="B25" s="222"/>
      <c r="C25" s="222"/>
      <c r="D25" s="222"/>
    </row>
    <row r="26" spans="1:9" ht="42.75" customHeight="1">
      <c r="A26" s="207" t="s">
        <v>160</v>
      </c>
      <c r="B26" s="208"/>
      <c r="C26" s="208"/>
      <c r="D26" s="209"/>
      <c r="E26" s="218" t="s">
        <v>388</v>
      </c>
      <c r="F26" s="218"/>
      <c r="G26" s="218"/>
    </row>
    <row r="28" spans="1:9">
      <c r="A28" t="s">
        <v>161</v>
      </c>
      <c r="B28" s="11" t="s">
        <v>162</v>
      </c>
      <c r="C28" s="139">
        <f>C29*C30*((C31/100)+(C32/100))*C33*C34*(C35/100)</f>
        <v>4.783350805258537E-2</v>
      </c>
      <c r="D28" t="s">
        <v>13</v>
      </c>
      <c r="E28" t="s">
        <v>384</v>
      </c>
      <c r="F28" s="24">
        <f>C28</f>
        <v>4.783350805258537E-2</v>
      </c>
    </row>
    <row r="29" spans="1:9">
      <c r="A29" t="s">
        <v>163</v>
      </c>
      <c r="B29" s="11" t="s">
        <v>123</v>
      </c>
      <c r="C29" s="146">
        <f>'User Inputs'!B5</f>
        <v>71</v>
      </c>
      <c r="D29" t="s">
        <v>16</v>
      </c>
      <c r="E29" t="s">
        <v>385</v>
      </c>
      <c r="F29" s="25">
        <f>F28*G12</f>
        <v>13.058547698355806</v>
      </c>
    </row>
    <row r="30" spans="1:9">
      <c r="A30" t="s">
        <v>145</v>
      </c>
      <c r="B30" s="11" t="s">
        <v>164</v>
      </c>
      <c r="C30" s="22">
        <f>C14</f>
        <v>0.12797773859311545</v>
      </c>
      <c r="D30" t="s">
        <v>147</v>
      </c>
      <c r="E30" t="s">
        <v>386</v>
      </c>
      <c r="F30">
        <f>'User Inputs'!B20</f>
        <v>232</v>
      </c>
    </row>
    <row r="31" spans="1:9" ht="28.5">
      <c r="A31" t="s">
        <v>165</v>
      </c>
      <c r="B31" s="11" t="s">
        <v>166</v>
      </c>
      <c r="C31" s="23">
        <v>30</v>
      </c>
      <c r="D31" t="s">
        <v>167</v>
      </c>
      <c r="E31" s="52" t="s">
        <v>387</v>
      </c>
      <c r="F31" s="69">
        <f>F30*F29</f>
        <v>3029.583066018547</v>
      </c>
    </row>
    <row r="32" spans="1:9" ht="28.5">
      <c r="A32" t="s">
        <v>168</v>
      </c>
      <c r="B32" s="11" t="s">
        <v>169</v>
      </c>
      <c r="C32" s="23">
        <v>3.5</v>
      </c>
      <c r="D32" t="s">
        <v>167</v>
      </c>
    </row>
    <row r="33" spans="1:9">
      <c r="A33">
        <v>0.01</v>
      </c>
      <c r="B33" s="11" t="s">
        <v>170</v>
      </c>
      <c r="C33" s="3">
        <v>0.01</v>
      </c>
      <c r="D33" t="s">
        <v>25</v>
      </c>
    </row>
    <row r="34" spans="1:9">
      <c r="A34" t="s">
        <v>171</v>
      </c>
      <c r="B34" s="11" t="s">
        <v>172</v>
      </c>
      <c r="C34" s="3">
        <f>44/28</f>
        <v>1.5714285714285714</v>
      </c>
      <c r="D34" t="s">
        <v>25</v>
      </c>
      <c r="E34" t="s">
        <v>185</v>
      </c>
    </row>
    <row r="35" spans="1:9" ht="42.75">
      <c r="A35" t="s">
        <v>173</v>
      </c>
      <c r="B35" s="11" t="s">
        <v>174</v>
      </c>
      <c r="C35" s="23">
        <v>100</v>
      </c>
      <c r="D35" t="s">
        <v>167</v>
      </c>
      <c r="E35" s="24">
        <f>C28*'BG Inputs'!$C$13</f>
        <v>12.675879633935123</v>
      </c>
    </row>
    <row r="37" spans="1:9" ht="15">
      <c r="A37" s="222" t="s">
        <v>335</v>
      </c>
      <c r="B37" s="222"/>
      <c r="C37" s="222"/>
      <c r="D37" s="222"/>
      <c r="I37" t="s">
        <v>905</v>
      </c>
    </row>
    <row r="38" spans="1:9">
      <c r="A38" s="207" t="s">
        <v>906</v>
      </c>
      <c r="B38" s="208"/>
      <c r="C38" s="208"/>
      <c r="D38" s="209"/>
      <c r="E38" s="218" t="s">
        <v>389</v>
      </c>
      <c r="F38" s="218"/>
      <c r="G38" s="218"/>
    </row>
    <row r="40" spans="1:9">
      <c r="A40" t="s">
        <v>175</v>
      </c>
      <c r="B40" s="11" t="s">
        <v>162</v>
      </c>
      <c r="C40" s="139">
        <f>C48*((C43/100)+(C44/100))*0.01*(44/28)*(C47/100)</f>
        <v>0</v>
      </c>
      <c r="D40" t="s">
        <v>13</v>
      </c>
      <c r="E40" t="s">
        <v>384</v>
      </c>
      <c r="F40" s="24">
        <f>C40</f>
        <v>0</v>
      </c>
    </row>
    <row r="41" spans="1:9">
      <c r="C41" s="2"/>
      <c r="E41" t="s">
        <v>385</v>
      </c>
      <c r="F41" s="24">
        <f>F40*G12</f>
        <v>0</v>
      </c>
    </row>
    <row r="42" spans="1:9">
      <c r="C42" s="22"/>
      <c r="E42" t="s">
        <v>386</v>
      </c>
      <c r="F42">
        <f>'User Inputs'!B20</f>
        <v>232</v>
      </c>
    </row>
    <row r="43" spans="1:9" ht="28.5">
      <c r="A43" t="s">
        <v>165</v>
      </c>
      <c r="B43" s="11" t="s">
        <v>166</v>
      </c>
      <c r="C43" s="23">
        <v>30</v>
      </c>
      <c r="D43" t="s">
        <v>167</v>
      </c>
      <c r="E43" s="52" t="s">
        <v>387</v>
      </c>
      <c r="F43" s="69">
        <f>F42*F41</f>
        <v>0</v>
      </c>
    </row>
    <row r="44" spans="1:9" ht="28.5">
      <c r="A44" t="s">
        <v>168</v>
      </c>
      <c r="B44" s="11" t="s">
        <v>169</v>
      </c>
      <c r="C44" s="23">
        <v>3.5</v>
      </c>
      <c r="D44" t="s">
        <v>167</v>
      </c>
    </row>
    <row r="45" spans="1:9">
      <c r="A45">
        <v>0.01</v>
      </c>
      <c r="B45" s="11" t="s">
        <v>170</v>
      </c>
      <c r="C45" s="3">
        <v>0.01</v>
      </c>
      <c r="D45" t="s">
        <v>25</v>
      </c>
    </row>
    <row r="46" spans="1:9">
      <c r="A46" t="s">
        <v>171</v>
      </c>
      <c r="B46" s="11" t="s">
        <v>172</v>
      </c>
      <c r="C46" s="3">
        <f>44/28</f>
        <v>1.5714285714285714</v>
      </c>
      <c r="D46" t="s">
        <v>25</v>
      </c>
      <c r="E46" t="s">
        <v>185</v>
      </c>
    </row>
    <row r="47" spans="1:9" ht="42.75">
      <c r="A47" t="s">
        <v>173</v>
      </c>
      <c r="B47" s="11" t="s">
        <v>174</v>
      </c>
      <c r="C47" s="23">
        <v>100</v>
      </c>
      <c r="D47" t="s">
        <v>167</v>
      </c>
      <c r="E47" s="24">
        <f>C40*'BG Inputs'!$C$13</f>
        <v>0</v>
      </c>
    </row>
    <row r="48" spans="1:9" ht="28.5">
      <c r="A48" t="s">
        <v>176</v>
      </c>
      <c r="B48" s="11" t="s">
        <v>177</v>
      </c>
      <c r="C48" s="22">
        <f>C53</f>
        <v>0</v>
      </c>
      <c r="D48" t="s">
        <v>147</v>
      </c>
    </row>
    <row r="50" spans="1:7" ht="15">
      <c r="A50" s="224" t="s">
        <v>336</v>
      </c>
      <c r="B50" s="224"/>
      <c r="C50" s="224"/>
      <c r="D50" s="224"/>
    </row>
    <row r="51" spans="1:7">
      <c r="A51" s="207" t="s">
        <v>904</v>
      </c>
      <c r="B51" s="208"/>
      <c r="C51" s="208"/>
      <c r="D51" s="208"/>
    </row>
    <row r="53" spans="1:7">
      <c r="A53" t="s">
        <v>178</v>
      </c>
      <c r="B53" s="11" t="s">
        <v>179</v>
      </c>
      <c r="C53" s="139">
        <v>0</v>
      </c>
      <c r="D53" t="s">
        <v>13</v>
      </c>
      <c r="E53" t="s">
        <v>390</v>
      </c>
      <c r="F53" s="144">
        <f>SUM(F43+F31)</f>
        <v>3029.583066018547</v>
      </c>
      <c r="G53" t="s">
        <v>391</v>
      </c>
    </row>
    <row r="54" spans="1:7">
      <c r="A54" t="s">
        <v>163</v>
      </c>
      <c r="B54" s="11" t="s">
        <v>123</v>
      </c>
      <c r="C54" s="146">
        <f>'User Inputs'!B5</f>
        <v>71</v>
      </c>
      <c r="D54" t="s">
        <v>16</v>
      </c>
      <c r="E54" t="s">
        <v>390</v>
      </c>
      <c r="F54" s="144">
        <f>F6</f>
        <v>18578.344145502557</v>
      </c>
      <c r="G54" t="s">
        <v>392</v>
      </c>
    </row>
    <row r="55" spans="1:7">
      <c r="A55" t="s">
        <v>145</v>
      </c>
      <c r="B55" s="11" t="s">
        <v>164</v>
      </c>
      <c r="C55" s="22">
        <f>C14</f>
        <v>0.12797773859311545</v>
      </c>
      <c r="D55" t="s">
        <v>147</v>
      </c>
    </row>
    <row r="56" spans="1:7" ht="28.5">
      <c r="A56" t="s">
        <v>165</v>
      </c>
      <c r="B56" s="11" t="s">
        <v>166</v>
      </c>
      <c r="C56" s="23">
        <v>65</v>
      </c>
      <c r="D56" t="s">
        <v>167</v>
      </c>
    </row>
    <row r="57" spans="1:7" ht="28.5">
      <c r="A57" t="s">
        <v>168</v>
      </c>
      <c r="B57" s="11" t="s">
        <v>169</v>
      </c>
      <c r="C57" s="23">
        <v>3.5</v>
      </c>
      <c r="D57" t="s">
        <v>167</v>
      </c>
    </row>
    <row r="58" spans="1:7">
      <c r="A58" t="s">
        <v>148</v>
      </c>
      <c r="B58" s="11" t="s">
        <v>180</v>
      </c>
      <c r="C58" s="23">
        <v>0.02</v>
      </c>
      <c r="D58" t="s">
        <v>167</v>
      </c>
    </row>
    <row r="59" spans="1:7" ht="28.5">
      <c r="A59" t="s">
        <v>181</v>
      </c>
      <c r="B59" s="11" t="s">
        <v>182</v>
      </c>
      <c r="C59" s="23">
        <v>3</v>
      </c>
      <c r="D59" t="s">
        <v>167</v>
      </c>
    </row>
    <row r="62" spans="1:7" ht="15">
      <c r="A62" s="206"/>
      <c r="B62" s="206"/>
      <c r="C62" s="206"/>
      <c r="D62" s="206"/>
    </row>
    <row r="69" spans="2:11">
      <c r="K69" t="s">
        <v>894</v>
      </c>
    </row>
    <row r="76" spans="2:11">
      <c r="B76"/>
    </row>
    <row r="77" spans="2:11">
      <c r="B77"/>
    </row>
    <row r="78" spans="2:11">
      <c r="B78"/>
    </row>
    <row r="79" spans="2:11">
      <c r="B79"/>
    </row>
    <row r="80" spans="2:11">
      <c r="B80"/>
    </row>
    <row r="81" spans="2:2">
      <c r="B81"/>
    </row>
    <row r="82" spans="2:2">
      <c r="B82"/>
    </row>
    <row r="83" spans="2:2">
      <c r="B83"/>
    </row>
    <row r="84" spans="2:2">
      <c r="B84"/>
    </row>
    <row r="85" spans="2:2">
      <c r="B85"/>
    </row>
    <row r="86" spans="2:2">
      <c r="B86"/>
    </row>
    <row r="87" spans="2:2">
      <c r="B87"/>
    </row>
    <row r="88" spans="2:2">
      <c r="B88"/>
    </row>
    <row r="89" spans="2:2">
      <c r="B89"/>
    </row>
    <row r="90" spans="2:2">
      <c r="B90"/>
    </row>
    <row r="91" spans="2:2">
      <c r="B91"/>
    </row>
    <row r="92" spans="2:2">
      <c r="B92"/>
    </row>
    <row r="93" spans="2:2">
      <c r="B93"/>
    </row>
    <row r="94" spans="2:2">
      <c r="B94"/>
    </row>
    <row r="95" spans="2:2">
      <c r="B95"/>
    </row>
  </sheetData>
  <sheetProtection algorithmName="SHA-512" hashValue="fmxA7cZ/qjKmGDXZb0IGW97BLp75betBHvG0UJXNacBUnaOgRTIYf+nibEkhY4bdHk3i5xNjBztm5+mW0hrYaw==" saltValue="tjcMn1JdHRGxs3hCFhiorQ==" spinCount="100000" sheet="1" objects="1" scenarios="1"/>
  <mergeCells count="16">
    <mergeCell ref="A62:D62"/>
    <mergeCell ref="A25:D25"/>
    <mergeCell ref="A26:D26"/>
    <mergeCell ref="A37:D37"/>
    <mergeCell ref="A38:D38"/>
    <mergeCell ref="A50:D50"/>
    <mergeCell ref="A51:D51"/>
    <mergeCell ref="E3:G3"/>
    <mergeCell ref="E26:G26"/>
    <mergeCell ref="E38:G38"/>
    <mergeCell ref="A18:D18"/>
    <mergeCell ref="A1:D1"/>
    <mergeCell ref="A2:D2"/>
    <mergeCell ref="A11:D11"/>
    <mergeCell ref="A12:D12"/>
    <mergeCell ref="A17:D17"/>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8F047-3ECE-49CE-9416-1031EC5E0E64}">
  <sheetPr>
    <tabColor rgb="FF8FE993"/>
  </sheetPr>
  <dimension ref="A1:V21"/>
  <sheetViews>
    <sheetView workbookViewId="0">
      <selection activeCell="G16" sqref="G16"/>
    </sheetView>
  </sheetViews>
  <sheetFormatPr defaultRowHeight="14.25"/>
  <cols>
    <col min="1" max="1" width="7.25" bestFit="1" customWidth="1"/>
    <col min="2" max="2" width="57.125" bestFit="1" customWidth="1"/>
    <col min="3" max="3" width="8.625" bestFit="1" customWidth="1"/>
    <col min="4" max="4" width="23.625" bestFit="1" customWidth="1"/>
    <col min="6" max="6" width="29.875" bestFit="1" customWidth="1"/>
    <col min="7" max="7" width="9.625" bestFit="1" customWidth="1"/>
    <col min="17" max="17" width="29.125" bestFit="1" customWidth="1"/>
    <col min="18" max="18" width="6" bestFit="1" customWidth="1"/>
    <col min="19" max="19" width="3" bestFit="1" customWidth="1"/>
    <col min="20" max="20" width="29.125" bestFit="1" customWidth="1"/>
  </cols>
  <sheetData>
    <row r="1" spans="1:22" ht="30" customHeight="1">
      <c r="A1" s="222" t="s">
        <v>331</v>
      </c>
      <c r="B1" s="222"/>
      <c r="C1" s="222"/>
      <c r="D1" s="222"/>
      <c r="F1" s="218" t="s">
        <v>363</v>
      </c>
      <c r="G1" s="218"/>
      <c r="H1" s="218"/>
    </row>
    <row r="2" spans="1:22" ht="15">
      <c r="A2" s="207" t="s">
        <v>103</v>
      </c>
      <c r="B2" s="208"/>
      <c r="C2" s="208"/>
      <c r="D2" s="209"/>
      <c r="F2" t="s">
        <v>364</v>
      </c>
      <c r="G2" s="16">
        <f>'BG Inputs'!C12</f>
        <v>27.2</v>
      </c>
      <c r="H2" t="s">
        <v>25</v>
      </c>
      <c r="T2" s="198" t="s">
        <v>126</v>
      </c>
      <c r="U2" s="198"/>
      <c r="V2" s="1"/>
    </row>
    <row r="3" spans="1:22" ht="15">
      <c r="T3" s="1" t="s">
        <v>127</v>
      </c>
      <c r="U3" s="1" t="s">
        <v>128</v>
      </c>
      <c r="V3" s="12" t="s">
        <v>114</v>
      </c>
    </row>
    <row r="4" spans="1:22">
      <c r="A4" t="s">
        <v>104</v>
      </c>
      <c r="B4" t="s">
        <v>919</v>
      </c>
      <c r="C4" s="139">
        <f>C5*C6*C8*(C7/100)</f>
        <v>0.65992426381969982</v>
      </c>
      <c r="D4" t="s">
        <v>13</v>
      </c>
      <c r="G4" s="18"/>
      <c r="H4" s="24"/>
      <c r="T4" s="20" t="s">
        <v>129</v>
      </c>
      <c r="U4" s="21">
        <v>40.28</v>
      </c>
      <c r="V4" s="1">
        <v>60</v>
      </c>
    </row>
    <row r="5" spans="1:22">
      <c r="A5" t="s">
        <v>105</v>
      </c>
      <c r="B5" s="11" t="s">
        <v>106</v>
      </c>
      <c r="C5" s="145">
        <f>C17</f>
        <v>149.23660421069644</v>
      </c>
      <c r="D5" t="s">
        <v>147</v>
      </c>
      <c r="F5" t="s">
        <v>365</v>
      </c>
      <c r="G5" s="66">
        <f>C4</f>
        <v>0.65992426381969982</v>
      </c>
      <c r="H5" t="s">
        <v>147</v>
      </c>
      <c r="T5" s="20" t="s">
        <v>130</v>
      </c>
      <c r="U5" s="21">
        <v>42.44</v>
      </c>
      <c r="V5" s="1">
        <v>67</v>
      </c>
    </row>
    <row r="6" spans="1:22">
      <c r="A6" t="s">
        <v>107</v>
      </c>
      <c r="B6" t="s">
        <v>108</v>
      </c>
      <c r="C6" s="146">
        <f>'BG Inputs'!C9</f>
        <v>0.33</v>
      </c>
      <c r="D6" t="s">
        <v>16</v>
      </c>
      <c r="F6" t="s">
        <v>424</v>
      </c>
      <c r="G6" s="24">
        <f>G5*'User Inputs'!B20</f>
        <v>153.10242920617037</v>
      </c>
      <c r="T6" s="20" t="s">
        <v>131</v>
      </c>
      <c r="U6" s="21">
        <v>57.02</v>
      </c>
      <c r="V6" s="1">
        <v>73</v>
      </c>
    </row>
    <row r="7" spans="1:22" ht="28.5">
      <c r="A7" t="s">
        <v>109</v>
      </c>
      <c r="B7" s="11" t="s">
        <v>110</v>
      </c>
      <c r="C7" s="15">
        <f>'BG Inputs'!G4</f>
        <v>2</v>
      </c>
      <c r="D7" t="s">
        <v>16</v>
      </c>
      <c r="F7" t="s">
        <v>425</v>
      </c>
      <c r="G7" s="24">
        <f>G6*G2</f>
        <v>4164.3860744078338</v>
      </c>
      <c r="H7" t="s">
        <v>16</v>
      </c>
      <c r="T7" s="20" t="s">
        <v>132</v>
      </c>
      <c r="U7" s="21">
        <v>57.2</v>
      </c>
      <c r="V7" s="1">
        <v>76</v>
      </c>
    </row>
    <row r="8" spans="1:22">
      <c r="A8">
        <v>0.67</v>
      </c>
      <c r="B8" t="s">
        <v>111</v>
      </c>
      <c r="C8" s="3">
        <v>0.67</v>
      </c>
      <c r="D8" t="s">
        <v>25</v>
      </c>
      <c r="T8" s="20" t="s">
        <v>133</v>
      </c>
      <c r="U8" s="21">
        <v>70.7</v>
      </c>
      <c r="V8" s="1">
        <v>76</v>
      </c>
    </row>
    <row r="9" spans="1:22">
      <c r="T9" s="20" t="s">
        <v>134</v>
      </c>
      <c r="U9" s="21">
        <v>78.62</v>
      </c>
      <c r="V9" s="1">
        <v>80</v>
      </c>
    </row>
    <row r="10" spans="1:22">
      <c r="T10" s="20" t="s">
        <v>135</v>
      </c>
      <c r="U10" s="21">
        <v>77.36</v>
      </c>
      <c r="V10" s="1">
        <v>80</v>
      </c>
    </row>
    <row r="11" spans="1:22" ht="15">
      <c r="A11" t="s">
        <v>112</v>
      </c>
      <c r="B11" s="1" t="s">
        <v>113</v>
      </c>
      <c r="C11" s="12" t="s">
        <v>114</v>
      </c>
      <c r="T11" s="20" t="s">
        <v>136</v>
      </c>
      <c r="U11" s="21">
        <v>77.900000000000006</v>
      </c>
      <c r="V11" s="1">
        <v>80</v>
      </c>
    </row>
    <row r="12" spans="1:22">
      <c r="A12" t="s">
        <v>115</v>
      </c>
      <c r="B12" s="15">
        <f>'User Inputs'!B25</f>
        <v>58.35</v>
      </c>
      <c r="C12">
        <f>IF(B12&lt;=40.28, 60, IF(B12&lt;=42.44, 67, IF(B12&lt;=57.02, 73, IF(B12&lt;=57.2, 76, IF(B12&lt;=70.7, 76, IF(B12&lt;=78.62, 80, 80))))))</f>
        <v>76</v>
      </c>
    </row>
    <row r="13" spans="1:22" ht="15">
      <c r="G13" s="19" t="s">
        <v>368</v>
      </c>
      <c r="T13" s="12" t="s">
        <v>137</v>
      </c>
      <c r="U13" s="1"/>
      <c r="V13" s="1"/>
    </row>
    <row r="14" spans="1:22" ht="15">
      <c r="A14" s="222" t="s">
        <v>393</v>
      </c>
      <c r="B14" s="222"/>
      <c r="C14" s="222"/>
      <c r="D14" s="222"/>
      <c r="F14" s="48" t="s">
        <v>104</v>
      </c>
      <c r="G14">
        <v>27.2</v>
      </c>
      <c r="T14" s="1" t="s">
        <v>138</v>
      </c>
      <c r="U14" s="21">
        <v>57.1</v>
      </c>
      <c r="V14" s="1">
        <f>IF(U14&lt;=40.28, 60, IF(U14&lt;=42.44, 67, IF(U14&lt;=57.02, 73, IF(U14&lt;=57.2, 76, IF(U14&lt;=70.7, 76, IF(U14&lt;=78.62, 80, 80))))))</f>
        <v>76</v>
      </c>
    </row>
    <row r="15" spans="1:22" ht="15">
      <c r="A15" s="207" t="s">
        <v>116</v>
      </c>
      <c r="B15" s="208"/>
      <c r="C15" s="208"/>
      <c r="D15" s="209"/>
      <c r="F15" s="48" t="s">
        <v>369</v>
      </c>
      <c r="G15">
        <v>273</v>
      </c>
      <c r="T15" s="1" t="s">
        <v>139</v>
      </c>
      <c r="U15" s="21">
        <v>57.1</v>
      </c>
      <c r="V15" s="1">
        <f>IF(U15&lt;=40.28, 60, IF(U15&lt;=42.44, 67, IF(U15&lt;=57.02, 73, IF(U15&lt;=57.2, 76, IF(U15&lt;=70.7, 76, IF(U15&lt;=78.62, 80, 80))))))</f>
        <v>76</v>
      </c>
    </row>
    <row r="16" spans="1:22" ht="15">
      <c r="F16" s="48" t="s">
        <v>370</v>
      </c>
      <c r="G16">
        <v>1</v>
      </c>
      <c r="T16" s="1" t="s">
        <v>140</v>
      </c>
      <c r="U16" s="21">
        <v>50</v>
      </c>
      <c r="V16" s="1">
        <f>IF(U16&lt;=40.28, 60, IF(U16&lt;=42.44, 67, IF(U16&lt;=57.02, 73, IF(U16&lt;=57.2, 76, IF(U16&lt;=70.7, 76, IF(U16&lt;=78.62, 80, 80))))))</f>
        <v>73</v>
      </c>
    </row>
    <row r="17" spans="1:22">
      <c r="A17" t="s">
        <v>105</v>
      </c>
      <c r="B17" t="s">
        <v>117</v>
      </c>
      <c r="C17" s="140">
        <f>C18*(C19/1000)*(C20)*(C21/100)</f>
        <v>149.23660421069644</v>
      </c>
      <c r="D17" t="s">
        <v>13</v>
      </c>
      <c r="T17" s="1" t="s">
        <v>141</v>
      </c>
      <c r="U17" s="21">
        <v>54</v>
      </c>
      <c r="V17" s="1">
        <f>IF(U17&lt;=40.28, 60, IF(U17&lt;=42.44, 67, IF(U17&lt;=57.02, 73, IF(U17&lt;=57.2, 76, IF(U17&lt;=70.7, 76, IF(U17&lt;=78.62, 80, 80))))))</f>
        <v>73</v>
      </c>
    </row>
    <row r="18" spans="1:22">
      <c r="A18" t="s">
        <v>118</v>
      </c>
      <c r="B18" s="11" t="s">
        <v>119</v>
      </c>
      <c r="C18" s="3">
        <v>7.6</v>
      </c>
      <c r="D18" t="s">
        <v>25</v>
      </c>
    </row>
    <row r="19" spans="1:22">
      <c r="A19" t="s">
        <v>120</v>
      </c>
      <c r="B19" t="s">
        <v>121</v>
      </c>
      <c r="C19" s="145">
        <f>'BG Inputs'!C11</f>
        <v>276.5689477588889</v>
      </c>
      <c r="D19" t="s">
        <v>147</v>
      </c>
    </row>
    <row r="20" spans="1:22">
      <c r="A20" t="s">
        <v>122</v>
      </c>
      <c r="B20" s="11" t="s">
        <v>123</v>
      </c>
      <c r="C20" s="146">
        <f>'User Inputs'!B5</f>
        <v>71</v>
      </c>
      <c r="D20" t="s">
        <v>16</v>
      </c>
    </row>
    <row r="21" spans="1:22" ht="42.75">
      <c r="A21" t="s">
        <v>124</v>
      </c>
      <c r="B21" s="11" t="s">
        <v>125</v>
      </c>
      <c r="C21" s="3">
        <v>100</v>
      </c>
      <c r="D21" t="s">
        <v>25</v>
      </c>
    </row>
  </sheetData>
  <sheetProtection algorithmName="SHA-512" hashValue="jcIbCAchEipI0y3NrFHkbi+M3jnLym2olNggxkWz/1RzEcJ9YWvDbc394ku5YlH8tjrUUQ0DvjiPqoknPF81aQ==" saltValue="tOtdHrJm7EvX/B8XMIxAIg==" spinCount="100000" sheet="1" objects="1" scenarios="1"/>
  <mergeCells count="6">
    <mergeCell ref="A1:D1"/>
    <mergeCell ref="A14:D14"/>
    <mergeCell ref="T2:U2"/>
    <mergeCell ref="A2:D2"/>
    <mergeCell ref="A15:D15"/>
    <mergeCell ref="F1:H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25532-E663-4D1C-B2CD-74CD3827FEDE}">
  <sheetPr>
    <tabColor theme="3" tint="0.59999389629810485"/>
  </sheetPr>
  <dimension ref="B2:N57"/>
  <sheetViews>
    <sheetView topLeftCell="A26" zoomScale="60" zoomScaleNormal="60" workbookViewId="0">
      <selection activeCell="C7" sqref="C7"/>
    </sheetView>
  </sheetViews>
  <sheetFormatPr defaultRowHeight="14.25"/>
  <cols>
    <col min="1" max="1" width="3.375" customWidth="1"/>
    <col min="2" max="2" width="51.375" bestFit="1" customWidth="1"/>
    <col min="3" max="3" width="136.75" bestFit="1" customWidth="1"/>
  </cols>
  <sheetData>
    <row r="2" spans="2:3" ht="15" thickBot="1"/>
    <row r="3" spans="2:3" ht="21" thickBot="1">
      <c r="B3" s="188" t="s">
        <v>344</v>
      </c>
      <c r="C3" s="189"/>
    </row>
    <row r="4" spans="2:3" ht="21" thickTop="1">
      <c r="B4" s="131" t="s">
        <v>0</v>
      </c>
      <c r="C4" s="132" t="s">
        <v>1</v>
      </c>
    </row>
    <row r="5" spans="2:3" ht="20.25">
      <c r="B5" s="40" t="s">
        <v>350</v>
      </c>
      <c r="C5" s="133"/>
    </row>
    <row r="6" spans="2:3" ht="20.25">
      <c r="B6" s="38" t="s">
        <v>87</v>
      </c>
      <c r="C6" s="133" t="s">
        <v>871</v>
      </c>
    </row>
    <row r="7" spans="2:3" ht="20.25">
      <c r="B7" s="38" t="s">
        <v>346</v>
      </c>
      <c r="C7" s="136" t="s">
        <v>879</v>
      </c>
    </row>
    <row r="8" spans="2:3" ht="20.25">
      <c r="B8" s="38" t="s">
        <v>353</v>
      </c>
      <c r="C8" s="136" t="s">
        <v>880</v>
      </c>
    </row>
    <row r="9" spans="2:3" ht="20.25">
      <c r="B9" s="38" t="s">
        <v>347</v>
      </c>
      <c r="C9" s="136" t="s">
        <v>881</v>
      </c>
    </row>
    <row r="10" spans="2:3" ht="20.25">
      <c r="B10" s="38" t="s">
        <v>348</v>
      </c>
      <c r="C10" s="136" t="s">
        <v>876</v>
      </c>
    </row>
    <row r="11" spans="2:3" ht="20.25">
      <c r="B11" s="38" t="s">
        <v>431</v>
      </c>
      <c r="C11" s="133" t="s">
        <v>432</v>
      </c>
    </row>
    <row r="12" spans="2:3" ht="20.25">
      <c r="B12" s="40" t="s">
        <v>354</v>
      </c>
      <c r="C12" s="133"/>
    </row>
    <row r="13" spans="2:3" ht="20.25">
      <c r="B13" s="38" t="s">
        <v>2</v>
      </c>
      <c r="C13" s="136" t="s">
        <v>875</v>
      </c>
    </row>
    <row r="14" spans="2:3" ht="20.25">
      <c r="B14" s="38" t="s">
        <v>3</v>
      </c>
      <c r="C14" s="136" t="s">
        <v>882</v>
      </c>
    </row>
    <row r="15" spans="2:3" ht="20.25">
      <c r="B15" s="38" t="s">
        <v>345</v>
      </c>
      <c r="C15" s="136" t="s">
        <v>874</v>
      </c>
    </row>
    <row r="16" spans="2:3" ht="20.25">
      <c r="B16" s="38" t="s">
        <v>357</v>
      </c>
      <c r="C16" s="133" t="s">
        <v>9</v>
      </c>
    </row>
    <row r="17" spans="2:3" ht="20.25">
      <c r="B17" s="40" t="s">
        <v>355</v>
      </c>
      <c r="C17" s="133"/>
    </row>
    <row r="18" spans="2:3" ht="20.25">
      <c r="B18" s="38" t="s">
        <v>351</v>
      </c>
      <c r="C18" s="133" t="s">
        <v>883</v>
      </c>
    </row>
    <row r="19" spans="2:3" ht="20.25">
      <c r="B19" s="40" t="s">
        <v>352</v>
      </c>
      <c r="C19" s="133"/>
    </row>
    <row r="20" spans="2:3" ht="20.25">
      <c r="B20" s="38" t="s">
        <v>386</v>
      </c>
      <c r="C20" s="136" t="s">
        <v>877</v>
      </c>
    </row>
    <row r="21" spans="2:3" ht="20.25">
      <c r="B21" s="38" t="s">
        <v>8</v>
      </c>
      <c r="C21" s="136" t="s">
        <v>878</v>
      </c>
    </row>
    <row r="22" spans="2:3" ht="20.25">
      <c r="B22" s="38" t="s">
        <v>155</v>
      </c>
      <c r="C22" s="133" t="s">
        <v>156</v>
      </c>
    </row>
    <row r="23" spans="2:3" ht="20.25">
      <c r="B23" s="40" t="s">
        <v>356</v>
      </c>
      <c r="C23" s="133"/>
    </row>
    <row r="24" spans="2:3" ht="20.25">
      <c r="B24" s="38" t="s">
        <v>401</v>
      </c>
      <c r="C24" s="133" t="s">
        <v>9</v>
      </c>
    </row>
    <row r="25" spans="2:3" ht="20.25">
      <c r="B25" s="38" t="s">
        <v>400</v>
      </c>
      <c r="C25" s="133" t="s">
        <v>9</v>
      </c>
    </row>
    <row r="26" spans="2:3" ht="20.25">
      <c r="B26" s="38" t="s">
        <v>399</v>
      </c>
      <c r="C26" s="133" t="s">
        <v>9</v>
      </c>
    </row>
    <row r="27" spans="2:3" ht="20.25">
      <c r="B27" s="38" t="s">
        <v>10</v>
      </c>
      <c r="C27" s="133" t="s">
        <v>402</v>
      </c>
    </row>
    <row r="28" spans="2:3" ht="20.25">
      <c r="B28" s="38" t="s">
        <v>398</v>
      </c>
      <c r="C28" s="133" t="s">
        <v>5</v>
      </c>
    </row>
    <row r="29" spans="2:3" ht="20.25">
      <c r="B29" s="38" t="s">
        <v>199</v>
      </c>
      <c r="C29" s="133" t="s">
        <v>6</v>
      </c>
    </row>
    <row r="30" spans="2:3" ht="20.25">
      <c r="B30" s="40" t="s">
        <v>403</v>
      </c>
      <c r="C30" s="133"/>
    </row>
    <row r="31" spans="2:3" ht="20.25">
      <c r="B31" s="38" t="s">
        <v>408</v>
      </c>
      <c r="C31" s="133" t="s">
        <v>848</v>
      </c>
    </row>
    <row r="32" spans="2:3" ht="20.25">
      <c r="B32" s="38" t="s">
        <v>113</v>
      </c>
      <c r="C32" s="133"/>
    </row>
    <row r="33" spans="2:3" ht="20.25">
      <c r="B33" s="38" t="s">
        <v>404</v>
      </c>
      <c r="C33" s="133" t="s">
        <v>7</v>
      </c>
    </row>
    <row r="34" spans="2:3" ht="20.25">
      <c r="B34" s="40" t="s">
        <v>429</v>
      </c>
      <c r="C34" s="133"/>
    </row>
    <row r="35" spans="2:3" ht="20.25">
      <c r="B35" s="135" t="s">
        <v>872</v>
      </c>
      <c r="C35" s="136" t="s">
        <v>873</v>
      </c>
    </row>
    <row r="36" spans="2:3" ht="20.25">
      <c r="B36" s="40" t="s">
        <v>376</v>
      </c>
      <c r="C36" s="133"/>
    </row>
    <row r="37" spans="2:3" ht="20.25">
      <c r="B37" s="38" t="s">
        <v>838</v>
      </c>
      <c r="C37" s="133" t="s">
        <v>884</v>
      </c>
    </row>
    <row r="38" spans="2:3" ht="20.25">
      <c r="B38" s="38" t="s">
        <v>839</v>
      </c>
      <c r="C38" s="133" t="s">
        <v>884</v>
      </c>
    </row>
    <row r="39" spans="2:3" ht="20.25">
      <c r="B39" s="38" t="s">
        <v>840</v>
      </c>
      <c r="C39" s="133" t="s">
        <v>884</v>
      </c>
    </row>
    <row r="40" spans="2:3" ht="20.25">
      <c r="B40" s="38" t="s">
        <v>841</v>
      </c>
      <c r="C40" s="133" t="s">
        <v>884</v>
      </c>
    </row>
    <row r="41" spans="2:3" ht="20.25">
      <c r="B41" s="38" t="s">
        <v>842</v>
      </c>
      <c r="C41" s="133" t="s">
        <v>884</v>
      </c>
    </row>
    <row r="42" spans="2:3" ht="20.25">
      <c r="B42" s="38" t="s">
        <v>843</v>
      </c>
      <c r="C42" s="133" t="s">
        <v>884</v>
      </c>
    </row>
    <row r="43" spans="2:3" ht="20.25">
      <c r="B43" s="38" t="s">
        <v>844</v>
      </c>
      <c r="C43" s="133" t="s">
        <v>884</v>
      </c>
    </row>
    <row r="44" spans="2:3" ht="20.25">
      <c r="B44" s="38" t="s">
        <v>845</v>
      </c>
      <c r="C44" s="133" t="s">
        <v>884</v>
      </c>
    </row>
    <row r="45" spans="2:3" ht="20.25">
      <c r="B45" s="38" t="s">
        <v>846</v>
      </c>
      <c r="C45" s="133" t="s">
        <v>884</v>
      </c>
    </row>
    <row r="46" spans="2:3" ht="21" thickBot="1">
      <c r="B46" s="41" t="s">
        <v>847</v>
      </c>
      <c r="C46" s="187" t="s">
        <v>884</v>
      </c>
    </row>
    <row r="47" spans="2:3" ht="15" thickBot="1"/>
    <row r="48" spans="2:3" ht="21" thickBot="1">
      <c r="B48" s="188" t="s">
        <v>428</v>
      </c>
      <c r="C48" s="189"/>
    </row>
    <row r="49" spans="2:14" ht="27" thickTop="1">
      <c r="B49" s="39" t="s">
        <v>418</v>
      </c>
      <c r="C49" s="134" t="s">
        <v>419</v>
      </c>
    </row>
    <row r="50" spans="2:14" ht="24.75">
      <c r="B50" s="38" t="s">
        <v>420</v>
      </c>
      <c r="C50" s="133" t="s">
        <v>912</v>
      </c>
    </row>
    <row r="51" spans="2:14" ht="24.75">
      <c r="B51" s="38" t="s">
        <v>423</v>
      </c>
      <c r="C51" s="133" t="s">
        <v>913</v>
      </c>
    </row>
    <row r="52" spans="2:14" ht="24.75">
      <c r="B52" s="38" t="s">
        <v>421</v>
      </c>
      <c r="C52" s="133" t="s">
        <v>914</v>
      </c>
    </row>
    <row r="53" spans="2:14" ht="24.75">
      <c r="B53" s="38" t="s">
        <v>422</v>
      </c>
      <c r="C53" s="133" t="s">
        <v>915</v>
      </c>
    </row>
    <row r="54" spans="2:14" ht="20.25">
      <c r="B54" s="137" t="s">
        <v>426</v>
      </c>
      <c r="C54" s="133"/>
      <c r="N54" t="s">
        <v>907</v>
      </c>
    </row>
    <row r="55" spans="2:14" ht="20.25">
      <c r="B55" s="38" t="s">
        <v>427</v>
      </c>
      <c r="C55" s="133" t="s">
        <v>885</v>
      </c>
    </row>
    <row r="56" spans="2:14" ht="20.25">
      <c r="B56" s="38" t="s">
        <v>886</v>
      </c>
      <c r="C56" s="133" t="s">
        <v>893</v>
      </c>
    </row>
    <row r="57" spans="2:14" ht="21" thickBot="1">
      <c r="B57" s="41" t="s">
        <v>927</v>
      </c>
      <c r="C57" s="187" t="s">
        <v>931</v>
      </c>
    </row>
  </sheetData>
  <sheetProtection algorithmName="SHA-512" hashValue="kUKhoygb4PjV+pvMT2S3HzO4FMESnnyWDshvsn2UPGrjgYMm8/QHgzxMdaKpm5YQXLj7aP8nqtFuOnG32S3I7w==" saltValue="7Y2a2zhTGBG+20LjV+xSzA==" spinCount="100000" sheet="1" objects="1" scenarios="1"/>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62C80-F882-4F12-A751-FF762D8D9EBF}">
  <sheetPr>
    <tabColor theme="7"/>
  </sheetPr>
  <dimension ref="A1:BH238"/>
  <sheetViews>
    <sheetView zoomScale="90" zoomScaleNormal="90" workbookViewId="0">
      <selection activeCell="A29" sqref="A29"/>
    </sheetView>
  </sheetViews>
  <sheetFormatPr defaultRowHeight="14.25"/>
  <cols>
    <col min="1" max="1" width="34.875" bestFit="1" customWidth="1"/>
    <col min="2" max="2" width="20.125" bestFit="1" customWidth="1"/>
    <col min="3" max="3" width="2.25" customWidth="1"/>
    <col min="4" max="4" width="34.875" bestFit="1" customWidth="1"/>
    <col min="5" max="5" width="32.125" bestFit="1" customWidth="1"/>
    <col min="6" max="6" width="12.125" bestFit="1" customWidth="1"/>
    <col min="7" max="7" width="18.25" bestFit="1" customWidth="1"/>
    <col min="8" max="9" width="15.75" bestFit="1" customWidth="1"/>
    <col min="11" max="11" width="13.875" bestFit="1" customWidth="1"/>
    <col min="12" max="12" width="28.75" bestFit="1" customWidth="1"/>
    <col min="15" max="15" width="20.375" bestFit="1" customWidth="1"/>
  </cols>
  <sheetData>
    <row r="1" spans="1:46" ht="15.75">
      <c r="A1" s="108" t="s">
        <v>868</v>
      </c>
      <c r="B1" s="109"/>
      <c r="C1" s="109"/>
      <c r="D1" s="109"/>
      <c r="E1" s="109"/>
      <c r="F1" s="109"/>
      <c r="G1" s="109"/>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row>
    <row r="2" spans="1:46" ht="15.75">
      <c r="A2" s="101" t="s">
        <v>0</v>
      </c>
      <c r="B2" s="102" t="s">
        <v>349</v>
      </c>
      <c r="C2" s="89"/>
      <c r="D2" s="101" t="s">
        <v>0</v>
      </c>
      <c r="E2" s="102" t="s">
        <v>349</v>
      </c>
      <c r="F2" s="84"/>
      <c r="G2" s="89"/>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row>
    <row r="3" spans="1:46">
      <c r="A3" s="99" t="s">
        <v>350</v>
      </c>
      <c r="B3" s="100"/>
      <c r="C3" s="84"/>
      <c r="D3" s="99" t="s">
        <v>356</v>
      </c>
      <c r="E3" s="100"/>
      <c r="F3" s="84"/>
      <c r="G3" s="89"/>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row>
    <row r="4" spans="1:46" ht="15">
      <c r="A4" s="90" t="s">
        <v>87</v>
      </c>
      <c r="B4" s="46" t="s">
        <v>411</v>
      </c>
      <c r="C4" s="84"/>
      <c r="D4" s="91" t="s">
        <v>401</v>
      </c>
      <c r="E4" s="60" t="s">
        <v>26</v>
      </c>
      <c r="F4" s="84"/>
      <c r="G4" s="89"/>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row>
    <row r="5" spans="1:46" ht="15">
      <c r="A5" s="90" t="s">
        <v>346</v>
      </c>
      <c r="B5" s="46">
        <v>71</v>
      </c>
      <c r="C5" s="84"/>
      <c r="D5" s="91" t="s">
        <v>400</v>
      </c>
      <c r="E5" s="60" t="s">
        <v>26</v>
      </c>
      <c r="F5" s="84"/>
      <c r="G5" s="89"/>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row>
    <row r="6" spans="1:46" ht="15">
      <c r="A6" s="91" t="s">
        <v>353</v>
      </c>
      <c r="B6" s="46">
        <v>63</v>
      </c>
      <c r="C6" s="84"/>
      <c r="D6" s="91" t="s">
        <v>399</v>
      </c>
      <c r="E6" s="60" t="s">
        <v>26</v>
      </c>
      <c r="F6" s="84"/>
      <c r="G6" s="89"/>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row>
    <row r="7" spans="1:46" ht="15">
      <c r="A7" s="91" t="s">
        <v>347</v>
      </c>
      <c r="B7" s="46">
        <v>41920</v>
      </c>
      <c r="C7" s="84"/>
      <c r="D7" s="91" t="s">
        <v>10</v>
      </c>
      <c r="E7" s="54">
        <v>100</v>
      </c>
      <c r="F7" s="84"/>
      <c r="G7" s="89"/>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row>
    <row r="8" spans="1:46" ht="15">
      <c r="A8" s="93" t="s">
        <v>348</v>
      </c>
      <c r="B8" s="57">
        <v>80333</v>
      </c>
      <c r="C8" s="84"/>
      <c r="D8" s="91" t="s">
        <v>398</v>
      </c>
      <c r="E8" s="59" t="s">
        <v>396</v>
      </c>
      <c r="F8" s="84"/>
      <c r="G8" s="89"/>
      <c r="H8" s="147"/>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row>
    <row r="9" spans="1:46" ht="15">
      <c r="A9" s="91" t="s">
        <v>431</v>
      </c>
      <c r="B9" s="72"/>
      <c r="C9" s="84"/>
      <c r="D9" s="91" t="s">
        <v>199</v>
      </c>
      <c r="E9" s="54" t="s">
        <v>908</v>
      </c>
      <c r="F9" s="84"/>
      <c r="G9" s="89"/>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row>
    <row r="10" spans="1:46" ht="15">
      <c r="A10" s="99" t="s">
        <v>354</v>
      </c>
      <c r="B10" s="100"/>
      <c r="C10" s="84"/>
      <c r="D10" s="91" t="s">
        <v>911</v>
      </c>
      <c r="E10" s="54" t="s">
        <v>35</v>
      </c>
      <c r="F10" s="84"/>
      <c r="G10" s="89"/>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row>
    <row r="11" spans="1:46" ht="15">
      <c r="A11" s="91" t="s">
        <v>2</v>
      </c>
      <c r="B11" s="56">
        <v>5</v>
      </c>
      <c r="C11" s="84"/>
      <c r="D11" s="84" t="s">
        <v>429</v>
      </c>
      <c r="E11" s="84"/>
      <c r="F11" s="147"/>
      <c r="G11" s="89"/>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row>
    <row r="12" spans="1:46" ht="15">
      <c r="A12" s="91" t="s">
        <v>3</v>
      </c>
      <c r="B12" s="46">
        <v>3007</v>
      </c>
      <c r="C12" s="84"/>
      <c r="D12" s="91" t="s">
        <v>872</v>
      </c>
      <c r="E12" s="46">
        <v>249289</v>
      </c>
      <c r="F12" s="84"/>
      <c r="G12" s="89"/>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row>
    <row r="13" spans="1:46" ht="15">
      <c r="A13" s="91" t="s">
        <v>869</v>
      </c>
      <c r="B13" s="56">
        <v>342</v>
      </c>
      <c r="C13" s="84"/>
      <c r="D13" s="84"/>
      <c r="E13" s="84"/>
      <c r="F13" s="84"/>
      <c r="G13" s="89"/>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row>
    <row r="14" spans="1:46" ht="15.75">
      <c r="A14" s="91" t="s">
        <v>345</v>
      </c>
      <c r="B14" s="56">
        <v>3</v>
      </c>
      <c r="C14" s="84"/>
      <c r="D14" s="103" t="s">
        <v>0</v>
      </c>
      <c r="E14" s="104" t="s">
        <v>850</v>
      </c>
      <c r="F14" s="105" t="s">
        <v>850</v>
      </c>
      <c r="G14" s="106"/>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row>
    <row r="15" spans="1:46" ht="15.75" thickBot="1">
      <c r="A15" s="91" t="s">
        <v>870</v>
      </c>
      <c r="B15" s="46">
        <v>55</v>
      </c>
      <c r="C15" s="84"/>
      <c r="D15" s="107" t="s">
        <v>376</v>
      </c>
      <c r="E15" s="77" t="s">
        <v>439</v>
      </c>
      <c r="F15" s="77" t="s">
        <v>849</v>
      </c>
      <c r="G15" s="92" t="s">
        <v>855</v>
      </c>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row>
    <row r="16" spans="1:46" ht="15">
      <c r="A16" s="91" t="s">
        <v>357</v>
      </c>
      <c r="B16" s="56" t="s">
        <v>26</v>
      </c>
      <c r="C16" s="84"/>
      <c r="D16" s="47" t="s">
        <v>838</v>
      </c>
      <c r="E16" s="76" t="s">
        <v>448</v>
      </c>
      <c r="F16" s="76"/>
      <c r="G16" s="94">
        <v>81.099999999999994</v>
      </c>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row>
    <row r="17" spans="1:46" ht="15">
      <c r="A17" s="88" t="s">
        <v>355</v>
      </c>
      <c r="B17" s="71"/>
      <c r="C17" s="84"/>
      <c r="D17" s="47" t="s">
        <v>839</v>
      </c>
      <c r="E17" s="76" t="s">
        <v>852</v>
      </c>
      <c r="F17" s="76"/>
      <c r="G17" s="94">
        <v>7.3</v>
      </c>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row>
    <row r="18" spans="1:46" ht="15">
      <c r="A18" s="91" t="s">
        <v>351</v>
      </c>
      <c r="B18" s="46">
        <v>49722</v>
      </c>
      <c r="C18" s="84"/>
      <c r="D18" s="47" t="s">
        <v>840</v>
      </c>
      <c r="E18" s="76" t="s">
        <v>740</v>
      </c>
      <c r="F18" s="76"/>
      <c r="G18" s="94">
        <v>2.7</v>
      </c>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row>
    <row r="19" spans="1:46" ht="15">
      <c r="A19" s="99" t="s">
        <v>352</v>
      </c>
      <c r="B19" s="100"/>
      <c r="C19" s="84"/>
      <c r="D19" s="47" t="s">
        <v>841</v>
      </c>
      <c r="E19" s="76" t="s">
        <v>492</v>
      </c>
      <c r="F19" s="76"/>
      <c r="G19" s="94">
        <v>0.9</v>
      </c>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row>
    <row r="20" spans="1:46" ht="15">
      <c r="A20" s="91" t="s">
        <v>386</v>
      </c>
      <c r="B20" s="57">
        <v>232</v>
      </c>
      <c r="C20" s="84"/>
      <c r="D20" s="47" t="s">
        <v>842</v>
      </c>
      <c r="E20" s="76" t="s">
        <v>494</v>
      </c>
      <c r="F20" s="76"/>
      <c r="G20" s="94">
        <v>1.7</v>
      </c>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row>
    <row r="21" spans="1:46" ht="15">
      <c r="A21" s="91" t="s">
        <v>8</v>
      </c>
      <c r="B21" s="58">
        <v>2.56</v>
      </c>
      <c r="C21" s="84"/>
      <c r="D21" s="47" t="s">
        <v>843</v>
      </c>
      <c r="E21" s="76" t="s">
        <v>854</v>
      </c>
      <c r="F21" s="76"/>
      <c r="G21" s="94">
        <v>1</v>
      </c>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row>
    <row r="22" spans="1:46" ht="15">
      <c r="A22" s="91" t="s">
        <v>155</v>
      </c>
      <c r="B22" s="58">
        <v>16.600000000000001</v>
      </c>
      <c r="C22" s="84"/>
      <c r="D22" s="47" t="s">
        <v>844</v>
      </c>
      <c r="E22" s="76" t="s">
        <v>854</v>
      </c>
      <c r="F22" s="76"/>
      <c r="G22" s="94">
        <v>5.2</v>
      </c>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row>
    <row r="23" spans="1:46" ht="15">
      <c r="A23" s="88" t="s">
        <v>403</v>
      </c>
      <c r="B23" s="71"/>
      <c r="C23" s="84"/>
      <c r="D23" s="47" t="s">
        <v>845</v>
      </c>
      <c r="E23" s="76"/>
      <c r="F23" s="76"/>
      <c r="G23" s="9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row>
    <row r="24" spans="1:46" ht="15">
      <c r="A24" s="91" t="s">
        <v>408</v>
      </c>
      <c r="B24" s="53" t="s">
        <v>920</v>
      </c>
      <c r="C24" s="84"/>
      <c r="D24" s="47" t="s">
        <v>846</v>
      </c>
      <c r="E24" s="76"/>
      <c r="F24" s="76"/>
      <c r="G24" s="9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row>
    <row r="25" spans="1:46" ht="15">
      <c r="A25" s="91" t="s">
        <v>113</v>
      </c>
      <c r="B25" s="55">
        <f>VLOOKUP(B24, 'BG Inputs'!$I$30:$J$35,2,FALSE)</f>
        <v>58.35</v>
      </c>
      <c r="C25" s="84"/>
      <c r="D25" s="47" t="s">
        <v>847</v>
      </c>
      <c r="E25" s="76"/>
      <c r="F25" s="76"/>
      <c r="G25" s="9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row>
    <row r="26" spans="1:46">
      <c r="A26" s="91" t="s">
        <v>404</v>
      </c>
      <c r="B26" s="53"/>
      <c r="C26" s="84"/>
      <c r="D26" s="84"/>
      <c r="E26" s="84"/>
      <c r="F26" s="84"/>
      <c r="G26" s="89"/>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row>
    <row r="27" spans="1:46">
      <c r="A27" s="91" t="s">
        <v>406</v>
      </c>
      <c r="B27" s="61"/>
      <c r="C27" s="84"/>
      <c r="D27" s="84"/>
      <c r="E27" s="84"/>
      <c r="F27" s="84"/>
      <c r="G27" s="89"/>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row>
    <row r="28" spans="1:46">
      <c r="A28" s="91" t="s">
        <v>405</v>
      </c>
      <c r="B28" s="61"/>
      <c r="C28" s="84"/>
      <c r="D28" s="84"/>
      <c r="E28" s="84"/>
      <c r="F28" s="84"/>
      <c r="G28" s="89"/>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row>
    <row r="29" spans="1:46" ht="15" thickBot="1">
      <c r="A29" s="95" t="s">
        <v>407</v>
      </c>
      <c r="B29" s="96"/>
      <c r="C29" s="97"/>
      <c r="D29" s="97"/>
      <c r="E29" s="97"/>
      <c r="F29" s="97"/>
      <c r="G29" s="98"/>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row>
    <row r="30" spans="1:46">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row>
    <row r="31" spans="1:46">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row>
    <row r="32" spans="1:46">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row>
    <row r="33" spans="1:60">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row>
    <row r="34" spans="1:60">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row>
    <row r="35" spans="1:60">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row>
    <row r="36" spans="1:60">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row>
    <row r="37" spans="1:60">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row>
    <row r="38" spans="1:60">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row>
    <row r="39" spans="1:60">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row>
    <row r="40" spans="1:60">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row>
    <row r="41" spans="1:60">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row>
    <row r="42" spans="1:60">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row>
    <row r="43" spans="1:60">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row>
    <row r="44" spans="1:60">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row>
    <row r="45" spans="1:60">
      <c r="A45" s="84"/>
      <c r="B45" s="84"/>
      <c r="C45" s="84"/>
      <c r="D45" s="84"/>
      <c r="E45" s="84"/>
      <c r="F45" s="110"/>
      <c r="G45" s="111"/>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row>
    <row r="46" spans="1:60">
      <c r="A46" s="84"/>
      <c r="B46" s="84"/>
      <c r="C46" s="84"/>
      <c r="D46" s="84"/>
      <c r="E46" s="84"/>
      <c r="F46" s="110"/>
      <c r="G46" s="111"/>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row>
    <row r="47" spans="1:60">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row>
    <row r="48" spans="1:60">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row>
    <row r="49" spans="1:60">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row>
    <row r="50" spans="1:60">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row>
    <row r="51" spans="1:60">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row>
    <row r="52" spans="1:60">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row>
    <row r="53" spans="1:60">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row>
    <row r="54" spans="1:60">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row>
    <row r="55" spans="1:60">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row>
    <row r="56" spans="1:60">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row>
    <row r="57" spans="1:60">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row>
    <row r="58" spans="1:60">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row>
    <row r="59" spans="1:60">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row>
    <row r="60" spans="1:60">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row>
    <row r="61" spans="1:60">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row>
    <row r="62" spans="1:60">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60">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row>
    <row r="64" spans="1:60">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row>
    <row r="65" spans="1:60">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sheetData>
  <phoneticPr fontId="24" type="noConversion"/>
  <dataValidations count="2">
    <dataValidation type="whole" allowBlank="1" showInputMessage="1" showErrorMessage="1" sqref="E7" xr:uid="{70FEB506-A39A-428A-A24C-5F5124FBBD68}">
      <formula1>0</formula1>
      <formula2>100</formula2>
    </dataValidation>
    <dataValidation type="list" allowBlank="1" showInputMessage="1" showErrorMessage="1" sqref="E8" xr:uid="{6A476C53-30D4-42DD-8785-A74DBBA094B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1">
        <x14:dataValidation type="list" allowBlank="1" showInputMessage="1" showErrorMessage="1" xr:uid="{926596A0-5D04-428F-A6F8-0F6E2577E37D}">
          <x14:formula1>
            <xm:f>'BG Ingredients'!$G$2:$G$346</xm:f>
          </x14:formula1>
          <xm:sqref>F16:F25</xm:sqref>
        </x14:dataValidation>
        <x14:dataValidation type="list" allowBlank="1" showInputMessage="1" showErrorMessage="1" xr:uid="{1032327F-7EC7-4C54-A632-2CF52C03579B}">
          <x14:formula1>
            <xm:f>'BG Ingredients'!$F$2:$F$92</xm:f>
          </x14:formula1>
          <xm:sqref>E21:E25</xm:sqref>
        </x14:dataValidation>
        <x14:dataValidation type="list" allowBlank="1" showInputMessage="1" showErrorMessage="1" xr:uid="{60E8362D-BE29-47C4-A105-8FB6DD0732CF}">
          <x14:formula1>
            <xm:f>'BG Inputs'!$E$6:$E$7</xm:f>
          </x14:formula1>
          <xm:sqref>B4</xm:sqref>
        </x14:dataValidation>
        <x14:dataValidation type="list" allowBlank="1" showInputMessage="1" showErrorMessage="1" xr:uid="{F796B98D-7CAF-4A78-B074-34E0A39B08DA}">
          <x14:formula1>
            <xm:f>'BG Inputs'!$F$6:$F$7</xm:f>
          </x14:formula1>
          <xm:sqref>E5</xm:sqref>
        </x14:dataValidation>
        <x14:dataValidation type="list" allowBlank="1" showInputMessage="1" showErrorMessage="1" xr:uid="{144DE0AF-0553-440B-B575-EC40D17BC9C4}">
          <x14:formula1>
            <xm:f>'BG Inputs'!$F$9:$F$10</xm:f>
          </x14:formula1>
          <xm:sqref>E6</xm:sqref>
        </x14:dataValidation>
        <x14:dataValidation type="list" allowBlank="1" showInputMessage="1" showErrorMessage="1" xr:uid="{5F91E3D2-B627-46BD-AA54-C91FC19A5515}">
          <x14:formula1>
            <xm:f>'BG Inputs'!$N$9:$N$11</xm:f>
          </x14:formula1>
          <xm:sqref>E9</xm:sqref>
        </x14:dataValidation>
        <x14:dataValidation type="list" allowBlank="1" showInputMessage="1" showErrorMessage="1" prompt="Select yes if you know what the dates are, and then fill out below_x000a_" xr:uid="{FC1D856D-03EB-433A-9628-EAF8087C0091}">
          <x14:formula1>
            <xm:f>'BG Inputs'!$F$18:$F$19</xm:f>
          </x14:formula1>
          <xm:sqref>B16</xm:sqref>
        </x14:dataValidation>
        <x14:dataValidation type="list" allowBlank="1" showInputMessage="1" showErrorMessage="1" xr:uid="{98D9C4DD-65CF-4A20-87D8-99AA5FA85F37}">
          <x14:formula1>
            <xm:f>'BG Inputs'!$M$4:$M$7</xm:f>
          </x14:formula1>
          <xm:sqref>E10</xm:sqref>
        </x14:dataValidation>
        <x14:dataValidation type="list" allowBlank="1" showInputMessage="1" showErrorMessage="1" xr:uid="{1876C57C-B631-4FFF-BEBC-5825EE7FC2F8}">
          <x14:formula1>
            <xm:f>'BG Ingredients'!$F$2:$F$93</xm:f>
          </x14:formula1>
          <xm:sqref>E16 E17 E18 E19 E20</xm:sqref>
        </x14:dataValidation>
        <x14:dataValidation type="list" allowBlank="1" showInputMessage="1" showErrorMessage="1" xr:uid="{11EC6088-A340-4028-8DEF-9DB5A2209F91}">
          <x14:formula1>
            <xm:f>'BG Inputs'!$I$30:$I$35</xm:f>
          </x14:formula1>
          <xm:sqref>B24</xm:sqref>
        </x14:dataValidation>
        <x14:dataValidation type="list" allowBlank="1" showInputMessage="1" showErrorMessage="1" xr:uid="{65678AAE-3A41-4146-9FB8-1232BA3D212F}">
          <x14:formula1>
            <xm:f>'BG Inputs'!F6:F7</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07905-8702-4D74-A4B5-60AEB434A5AE}">
  <sheetPr>
    <tabColor rgb="FF8FE993"/>
  </sheetPr>
  <dimension ref="A1:AT291"/>
  <sheetViews>
    <sheetView zoomScale="80" zoomScaleNormal="80" workbookViewId="0">
      <selection activeCell="B28" sqref="B28"/>
    </sheetView>
  </sheetViews>
  <sheetFormatPr defaultRowHeight="14.25"/>
  <cols>
    <col min="1" max="1" width="60" bestFit="1" customWidth="1"/>
    <col min="2" max="2" width="48.75" bestFit="1" customWidth="1"/>
    <col min="3" max="3" width="15.125" bestFit="1" customWidth="1"/>
    <col min="4" max="4" width="42.625" bestFit="1" customWidth="1"/>
  </cols>
  <sheetData>
    <row r="1" spans="1:46" ht="27.75">
      <c r="A1" s="190" t="s">
        <v>428</v>
      </c>
      <c r="B1" s="191"/>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row>
    <row r="2" spans="1:46" ht="27" thickBot="1">
      <c r="A2" s="42" t="s">
        <v>418</v>
      </c>
      <c r="B2" s="122" t="s">
        <v>419</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row>
    <row r="3" spans="1:46" ht="24.75">
      <c r="A3" s="43" t="s">
        <v>420</v>
      </c>
      <c r="B3" s="171">
        <f>'Enteric CH4'!J13</f>
        <v>32051.158131658369</v>
      </c>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row>
    <row r="4" spans="1:46" ht="24.75">
      <c r="A4" s="45" t="s">
        <v>423</v>
      </c>
      <c r="B4" s="171">
        <f>'Manure Methane'!G7</f>
        <v>4164.3860744078338</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row>
    <row r="5" spans="1:46" ht="24.75">
      <c r="A5" s="45" t="s">
        <v>421</v>
      </c>
      <c r="B5" s="171">
        <f>'N20'!F54</f>
        <v>18578.344145502557</v>
      </c>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row>
    <row r="6" spans="1:46" ht="25.5" thickBot="1">
      <c r="A6" s="44" t="s">
        <v>422</v>
      </c>
      <c r="B6" s="172">
        <f>'N20'!F53</f>
        <v>3029.583066018547</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spans="1:46" ht="24" thickBot="1">
      <c r="A7" s="67" t="s">
        <v>426</v>
      </c>
      <c r="B7" s="173">
        <f>SUM(B3:B6)</f>
        <v>57823.471417587309</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row>
    <row r="8" spans="1:46" ht="24.75" thickTop="1" thickBot="1">
      <c r="A8" s="68" t="s">
        <v>427</v>
      </c>
      <c r="B8" s="174">
        <f>B7/'BG Inputs'!C20</f>
        <v>1.5868812712215288</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row>
    <row r="9" spans="1:46" ht="24" thickBot="1">
      <c r="A9" s="68" t="s">
        <v>886</v>
      </c>
      <c r="B9" s="174">
        <f>B7/'BG Inputs'!C21</f>
        <v>2.5638335779139831</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row>
    <row r="10" spans="1:46" ht="24" thickBot="1">
      <c r="A10" s="68" t="s">
        <v>927</v>
      </c>
      <c r="B10" s="174">
        <f>B7/'BG Inputs'!C24</f>
        <v>3.3186403863545948</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row>
    <row r="11" spans="1:46" ht="24" thickBot="1">
      <c r="A11" s="68" t="s">
        <v>892</v>
      </c>
      <c r="B11" s="175">
        <f>B7/'BG Inputs'!C22</f>
        <v>0.51137006912073568</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row>
    <row r="12" spans="1:46">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row>
    <row r="13" spans="1:46">
      <c r="A13" s="84"/>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row>
    <row r="14" spans="1:46">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row>
    <row r="15" spans="1:46">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row>
    <row r="16" spans="1:46">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row>
    <row r="17" spans="1:46">
      <c r="A17" s="84"/>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row>
    <row r="18" spans="1:46">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row>
    <row r="19" spans="1:46">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row>
    <row r="20" spans="1:46">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row>
    <row r="21" spans="1:46">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row>
    <row r="22" spans="1:46">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row>
    <row r="23" spans="1:46">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row>
    <row r="24" spans="1:46">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row>
    <row r="25" spans="1:46">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row>
    <row r="26" spans="1:46">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row>
    <row r="27" spans="1:46">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row>
    <row r="28" spans="1:46">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row>
    <row r="29" spans="1:46">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row>
    <row r="30" spans="1:46">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row>
    <row r="31" spans="1:46">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row>
    <row r="32" spans="1:46">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row>
    <row r="33" spans="1:46">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row>
    <row r="34" spans="1:46">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row>
    <row r="35" spans="1:46">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row>
    <row r="36" spans="1:46">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row>
    <row r="37" spans="1:46">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row>
    <row r="38" spans="1:46">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row>
    <row r="39" spans="1:46">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row>
    <row r="40" spans="1:46">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row>
    <row r="41" spans="1:46">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row>
    <row r="42" spans="1:46">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row>
    <row r="43" spans="1:46">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row>
    <row r="44" spans="1:46">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row>
    <row r="45" spans="1:46">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row>
    <row r="46" spans="1:46">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row>
    <row r="47" spans="1:46">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row>
    <row r="48" spans="1:46">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row>
    <row r="49" spans="1:46">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row>
    <row r="50" spans="1:46">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row>
    <row r="51" spans="1:46">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row>
    <row r="52" spans="1:46">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row>
    <row r="53" spans="1:46">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row>
    <row r="54" spans="1:46">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row>
    <row r="55" spans="1:46">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row>
    <row r="56" spans="1:46">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row>
    <row r="57" spans="1:46">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row>
    <row r="58" spans="1:46">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row>
    <row r="59" spans="1:46">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row>
    <row r="60" spans="1:46">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row>
    <row r="61" spans="1:46">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row>
    <row r="62" spans="1:46">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row>
    <row r="63" spans="1:46">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row>
    <row r="64" spans="1:46">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row>
    <row r="65" spans="1:46">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row>
    <row r="66" spans="1:46">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row>
    <row r="67" spans="1:46">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row>
    <row r="68" spans="1:46">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row>
    <row r="69" spans="1:46">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row>
    <row r="70" spans="1:46">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row>
    <row r="71" spans="1:46">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row>
    <row r="72" spans="1:46">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row>
    <row r="73" spans="1:46">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row>
    <row r="74" spans="1:46">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row>
    <row r="75" spans="1:46">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row>
    <row r="76" spans="1:46">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row>
    <row r="77" spans="1:46">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row>
    <row r="78" spans="1:46">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row>
    <row r="79" spans="1:46">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row>
    <row r="80" spans="1:46">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row>
    <row r="81" spans="1:46">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row>
    <row r="82" spans="1:46">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row>
    <row r="83" spans="1:46">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row>
    <row r="84" spans="1:46">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row>
    <row r="85" spans="1:46">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row>
    <row r="86" spans="1:46">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row>
    <row r="87" spans="1:46">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row>
    <row r="88" spans="1:46">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row>
    <row r="89" spans="1:46">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row>
    <row r="90" spans="1:46">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row>
    <row r="91" spans="1:46">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row>
    <row r="92" spans="1:46">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row>
    <row r="93" spans="1:46">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row>
    <row r="94" spans="1:46">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row>
    <row r="95" spans="1:46">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row>
    <row r="96" spans="1:46">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row>
    <row r="97" spans="1:46">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row>
    <row r="98" spans="1:46">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row>
    <row r="99" spans="1:46">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row>
    <row r="100" spans="1:46">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row>
    <row r="101" spans="1:46">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row>
    <row r="102" spans="1:46">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row>
    <row r="103" spans="1:46">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row>
    <row r="104" spans="1:46">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row>
    <row r="105" spans="1:46">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row>
    <row r="106" spans="1:46">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row>
    <row r="107" spans="1:46">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row>
    <row r="108" spans="1:46">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row>
    <row r="109" spans="1:46">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row>
    <row r="110" spans="1:46">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row>
    <row r="111" spans="1:46">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row>
    <row r="112" spans="1:46">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row>
    <row r="113" spans="1:46">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row>
    <row r="114" spans="1:46">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row>
    <row r="115" spans="1:46">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row>
    <row r="116" spans="1:46">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row>
    <row r="117" spans="1:46">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row>
    <row r="118" spans="1:46">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row>
    <row r="119" spans="1:46">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row>
    <row r="120" spans="1:46">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row>
    <row r="121" spans="1:46">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row>
    <row r="122" spans="1:46">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row>
    <row r="123" spans="1:46">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row>
    <row r="124" spans="1:46">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row>
    <row r="125" spans="1:46">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row>
    <row r="126" spans="1:46">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row>
    <row r="127" spans="1:46">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row>
    <row r="128" spans="1:46">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row>
    <row r="129" spans="1:46">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row>
    <row r="130" spans="1:46">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row>
    <row r="131" spans="1:46">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row>
    <row r="132" spans="1:46">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row>
    <row r="133" spans="1:46">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row>
    <row r="134" spans="1:46">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row>
    <row r="135" spans="1:46">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row>
    <row r="136" spans="1:46">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row>
    <row r="137" spans="1:46">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row>
    <row r="138" spans="1:46">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row>
    <row r="139" spans="1:46">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row>
    <row r="140" spans="1:46">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row>
    <row r="141" spans="1:46">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row>
    <row r="142" spans="1:46">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row>
    <row r="143" spans="1:46">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row>
    <row r="144" spans="1:46">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row>
    <row r="145" spans="1:46">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row>
    <row r="146" spans="1:46">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row>
    <row r="147" spans="1:46">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row>
    <row r="148" spans="1:46">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row>
    <row r="149" spans="1:46">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row>
    <row r="150" spans="1:46">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row>
    <row r="151" spans="1:46">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row>
    <row r="152" spans="1:46">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row>
    <row r="153" spans="1:46">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row>
    <row r="154" spans="1:46">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row>
    <row r="155" spans="1:46">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row>
    <row r="156" spans="1:46">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row>
    <row r="157" spans="1:46">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row>
    <row r="158" spans="1:46">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row>
    <row r="159" spans="1:46">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row>
    <row r="160" spans="1:46">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row>
    <row r="161" spans="1:46">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row>
    <row r="162" spans="1:46">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row>
    <row r="163" spans="1:46">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row>
    <row r="164" spans="1:46">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row>
    <row r="165" spans="1:46">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row>
    <row r="166" spans="1:46">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row>
    <row r="167" spans="1:46">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row>
    <row r="168" spans="1:46">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row>
    <row r="169" spans="1:46">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row>
    <row r="170" spans="1:46">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row>
    <row r="171" spans="1:46">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row>
    <row r="172" spans="1:46">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row>
    <row r="173" spans="1:46">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row>
    <row r="174" spans="1:46">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row>
    <row r="175" spans="1:46">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row>
    <row r="176" spans="1:46">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row>
    <row r="177" spans="1:46">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row>
    <row r="178" spans="1:46">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row>
    <row r="179" spans="1:46">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row>
    <row r="180" spans="1:46">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row>
    <row r="181" spans="1:46">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row>
    <row r="182" spans="1:46">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row>
    <row r="183" spans="1:46">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row>
    <row r="184" spans="1:46">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row>
    <row r="185" spans="1:46">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row>
    <row r="186" spans="1:46">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row>
    <row r="187" spans="1:46">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row>
    <row r="188" spans="1:46">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row>
    <row r="189" spans="1:46">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row>
    <row r="190" spans="1:46">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row>
    <row r="191" spans="1:46">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row>
    <row r="192" spans="1:46">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row>
    <row r="193" spans="1:46">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row>
    <row r="194" spans="1:46">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row>
    <row r="195" spans="1:46">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row>
    <row r="196" spans="1:46">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row>
    <row r="197" spans="1:46">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row>
    <row r="198" spans="1:46">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row>
    <row r="199" spans="1:46">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row>
    <row r="200" spans="1:46">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row>
    <row r="201" spans="1:46">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row>
    <row r="202" spans="1:46">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row>
    <row r="203" spans="1:46">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row>
    <row r="204" spans="1:46">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row>
    <row r="205" spans="1:46">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row>
    <row r="206" spans="1:46">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row>
    <row r="207" spans="1:46">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row>
    <row r="208" spans="1:46">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row>
    <row r="209" spans="1:46">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row>
    <row r="210" spans="1:46">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row>
    <row r="211" spans="1:46">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row>
    <row r="212" spans="1:46">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row>
    <row r="213" spans="1:46">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row>
    <row r="214" spans="1:46">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row>
    <row r="215" spans="1:46">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row>
    <row r="216" spans="1:46">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row>
    <row r="217" spans="1:46">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row>
    <row r="218" spans="1:46">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row>
    <row r="219" spans="1:46">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row>
    <row r="220" spans="1:46">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row>
    <row r="221" spans="1:46">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row>
    <row r="222" spans="1:46">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row>
    <row r="223" spans="1:46">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row>
    <row r="224" spans="1:46">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row>
    <row r="225" spans="1:46">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row>
    <row r="226" spans="1:46">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row>
    <row r="227" spans="1:46">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row>
    <row r="228" spans="1:46">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row>
    <row r="229" spans="1:46">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row>
    <row r="230" spans="1:46">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row>
    <row r="231" spans="1:46">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row>
    <row r="232" spans="1:46">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row>
    <row r="233" spans="1:46">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row>
    <row r="234" spans="1:46">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row>
    <row r="235" spans="1:46">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row>
    <row r="236" spans="1:46">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row>
    <row r="237" spans="1:46">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row>
    <row r="238" spans="1:46">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row>
    <row r="239" spans="1:46">
      <c r="A239" s="84"/>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row>
    <row r="240" spans="1:46">
      <c r="A240" s="84"/>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row>
    <row r="241" spans="1:46">
      <c r="A241" s="84"/>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row>
    <row r="242" spans="1:46">
      <c r="A242" s="84"/>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row>
    <row r="243" spans="1:46">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row>
    <row r="244" spans="1:46">
      <c r="A244" s="84"/>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row>
    <row r="245" spans="1:46">
      <c r="A245" s="84"/>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c r="AE245" s="84"/>
      <c r="AF245" s="84"/>
      <c r="AG245" s="84"/>
      <c r="AH245" s="84"/>
      <c r="AI245" s="84"/>
      <c r="AJ245" s="84"/>
      <c r="AK245" s="84"/>
      <c r="AL245" s="84"/>
      <c r="AM245" s="84"/>
      <c r="AN245" s="84"/>
      <c r="AO245" s="84"/>
      <c r="AP245" s="84"/>
      <c r="AQ245" s="84"/>
      <c r="AR245" s="84"/>
      <c r="AS245" s="84"/>
      <c r="AT245" s="84"/>
    </row>
    <row r="246" spans="1:46">
      <c r="A246" s="84"/>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c r="AD246" s="84"/>
      <c r="AE246" s="84"/>
      <c r="AF246" s="84"/>
      <c r="AG246" s="84"/>
      <c r="AH246" s="84"/>
      <c r="AI246" s="84"/>
      <c r="AJ246" s="84"/>
      <c r="AK246" s="84"/>
      <c r="AL246" s="84"/>
      <c r="AM246" s="84"/>
      <c r="AN246" s="84"/>
      <c r="AO246" s="84"/>
      <c r="AP246" s="84"/>
      <c r="AQ246" s="84"/>
      <c r="AR246" s="84"/>
      <c r="AS246" s="84"/>
      <c r="AT246" s="84"/>
    </row>
    <row r="247" spans="1:46">
      <c r="A247" s="84"/>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E247" s="84"/>
      <c r="AF247" s="84"/>
      <c r="AG247" s="84"/>
      <c r="AH247" s="84"/>
      <c r="AI247" s="84"/>
      <c r="AJ247" s="84"/>
      <c r="AK247" s="84"/>
      <c r="AL247" s="84"/>
      <c r="AM247" s="84"/>
      <c r="AN247" s="84"/>
      <c r="AO247" s="84"/>
      <c r="AP247" s="84"/>
      <c r="AQ247" s="84"/>
      <c r="AR247" s="84"/>
      <c r="AS247" s="84"/>
      <c r="AT247" s="84"/>
    </row>
    <row r="248" spans="1:46">
      <c r="A248" s="84"/>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c r="AD248" s="84"/>
      <c r="AE248" s="84"/>
      <c r="AF248" s="84"/>
      <c r="AG248" s="84"/>
      <c r="AH248" s="84"/>
      <c r="AI248" s="84"/>
      <c r="AJ248" s="84"/>
      <c r="AK248" s="84"/>
      <c r="AL248" s="84"/>
      <c r="AM248" s="84"/>
      <c r="AN248" s="84"/>
      <c r="AO248" s="84"/>
      <c r="AP248" s="84"/>
      <c r="AQ248" s="84"/>
      <c r="AR248" s="84"/>
      <c r="AS248" s="84"/>
      <c r="AT248" s="84"/>
    </row>
    <row r="249" spans="1:46">
      <c r="A249" s="84"/>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c r="AL249" s="84"/>
      <c r="AM249" s="84"/>
      <c r="AN249" s="84"/>
      <c r="AO249" s="84"/>
      <c r="AP249" s="84"/>
      <c r="AQ249" s="84"/>
      <c r="AR249" s="84"/>
      <c r="AS249" s="84"/>
      <c r="AT249" s="84"/>
    </row>
    <row r="250" spans="1:46">
      <c r="A250" s="84"/>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4"/>
      <c r="AL250" s="84"/>
      <c r="AM250" s="84"/>
      <c r="AN250" s="84"/>
      <c r="AO250" s="84"/>
      <c r="AP250" s="84"/>
      <c r="AQ250" s="84"/>
      <c r="AR250" s="84"/>
      <c r="AS250" s="84"/>
      <c r="AT250" s="84"/>
    </row>
    <row r="251" spans="1:46">
      <c r="A251" s="84"/>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c r="AC251" s="84"/>
      <c r="AD251" s="84"/>
      <c r="AE251" s="84"/>
      <c r="AF251" s="84"/>
      <c r="AG251" s="84"/>
      <c r="AH251" s="84"/>
      <c r="AI251" s="84"/>
      <c r="AJ251" s="84"/>
      <c r="AK251" s="84"/>
      <c r="AL251" s="84"/>
      <c r="AM251" s="84"/>
      <c r="AN251" s="84"/>
      <c r="AO251" s="84"/>
      <c r="AP251" s="84"/>
      <c r="AQ251" s="84"/>
      <c r="AR251" s="84"/>
      <c r="AS251" s="84"/>
      <c r="AT251" s="84"/>
    </row>
    <row r="252" spans="1:46">
      <c r="A252" s="84"/>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c r="AL252" s="84"/>
      <c r="AM252" s="84"/>
      <c r="AN252" s="84"/>
      <c r="AO252" s="84"/>
      <c r="AP252" s="84"/>
      <c r="AQ252" s="84"/>
      <c r="AR252" s="84"/>
      <c r="AS252" s="84"/>
      <c r="AT252" s="84"/>
    </row>
    <row r="253" spans="1:46">
      <c r="A253" s="84"/>
      <c r="B253" s="84"/>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c r="AC253" s="84"/>
      <c r="AD253" s="84"/>
      <c r="AE253" s="84"/>
      <c r="AF253" s="84"/>
      <c r="AG253" s="84"/>
      <c r="AH253" s="84"/>
      <c r="AI253" s="84"/>
      <c r="AJ253" s="84"/>
      <c r="AK253" s="84"/>
      <c r="AL253" s="84"/>
      <c r="AM253" s="84"/>
      <c r="AN253" s="84"/>
      <c r="AO253" s="84"/>
      <c r="AP253" s="84"/>
      <c r="AQ253" s="84"/>
      <c r="AR253" s="84"/>
      <c r="AS253" s="84"/>
      <c r="AT253" s="84"/>
    </row>
    <row r="254" spans="1:46">
      <c r="A254" s="84"/>
      <c r="B254" s="84"/>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84"/>
      <c r="AI254" s="84"/>
      <c r="AJ254" s="84"/>
      <c r="AK254" s="84"/>
      <c r="AL254" s="84"/>
      <c r="AM254" s="84"/>
      <c r="AN254" s="84"/>
      <c r="AO254" s="84"/>
      <c r="AP254" s="84"/>
      <c r="AQ254" s="84"/>
      <c r="AR254" s="84"/>
      <c r="AS254" s="84"/>
      <c r="AT254" s="84"/>
    </row>
    <row r="255" spans="1:46">
      <c r="A255" s="84"/>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4"/>
      <c r="AQ255" s="84"/>
      <c r="AR255" s="84"/>
      <c r="AS255" s="84"/>
      <c r="AT255" s="84"/>
    </row>
    <row r="256" spans="1:46">
      <c r="A256" s="84"/>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c r="AL256" s="84"/>
      <c r="AM256" s="84"/>
      <c r="AN256" s="84"/>
      <c r="AO256" s="84"/>
      <c r="AP256" s="84"/>
      <c r="AQ256" s="84"/>
      <c r="AR256" s="84"/>
      <c r="AS256" s="84"/>
      <c r="AT256" s="84"/>
    </row>
    <row r="257" spans="1:46">
      <c r="A257" s="84"/>
      <c r="B257" s="84"/>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c r="AL257" s="84"/>
      <c r="AM257" s="84"/>
      <c r="AN257" s="84"/>
      <c r="AO257" s="84"/>
      <c r="AP257" s="84"/>
      <c r="AQ257" s="84"/>
      <c r="AR257" s="84"/>
      <c r="AS257" s="84"/>
      <c r="AT257" s="84"/>
    </row>
    <row r="258" spans="1:46">
      <c r="A258" s="84"/>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c r="AL258" s="84"/>
      <c r="AM258" s="84"/>
      <c r="AN258" s="84"/>
      <c r="AO258" s="84"/>
      <c r="AP258" s="84"/>
      <c r="AQ258" s="84"/>
      <c r="AR258" s="84"/>
      <c r="AS258" s="84"/>
      <c r="AT258" s="84"/>
    </row>
    <row r="259" spans="1:46">
      <c r="A259" s="84"/>
      <c r="B259" s="84"/>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c r="AH259" s="84"/>
      <c r="AI259" s="84"/>
      <c r="AJ259" s="84"/>
      <c r="AK259" s="84"/>
      <c r="AL259" s="84"/>
      <c r="AM259" s="84"/>
      <c r="AN259" s="84"/>
      <c r="AO259" s="84"/>
      <c r="AP259" s="84"/>
      <c r="AQ259" s="84"/>
      <c r="AR259" s="84"/>
      <c r="AS259" s="84"/>
      <c r="AT259" s="84"/>
    </row>
    <row r="260" spans="1:46">
      <c r="A260" s="84"/>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c r="AJ260" s="84"/>
      <c r="AK260" s="84"/>
      <c r="AL260" s="84"/>
      <c r="AM260" s="84"/>
      <c r="AN260" s="84"/>
      <c r="AO260" s="84"/>
      <c r="AP260" s="84"/>
      <c r="AQ260" s="84"/>
      <c r="AR260" s="84"/>
      <c r="AS260" s="84"/>
      <c r="AT260" s="84"/>
    </row>
    <row r="261" spans="1:46">
      <c r="A261" s="84"/>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c r="AH261" s="84"/>
      <c r="AI261" s="84"/>
      <c r="AJ261" s="84"/>
      <c r="AK261" s="84"/>
      <c r="AL261" s="84"/>
      <c r="AM261" s="84"/>
      <c r="AN261" s="84"/>
      <c r="AO261" s="84"/>
      <c r="AP261" s="84"/>
      <c r="AQ261" s="84"/>
      <c r="AR261" s="84"/>
      <c r="AS261" s="84"/>
      <c r="AT261" s="84"/>
    </row>
    <row r="262" spans="1:46">
      <c r="A262" s="84"/>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c r="AH262" s="84"/>
      <c r="AI262" s="84"/>
      <c r="AJ262" s="84"/>
      <c r="AK262" s="84"/>
      <c r="AL262" s="84"/>
      <c r="AM262" s="84"/>
      <c r="AN262" s="84"/>
      <c r="AO262" s="84"/>
      <c r="AP262" s="84"/>
      <c r="AQ262" s="84"/>
      <c r="AR262" s="84"/>
      <c r="AS262" s="84"/>
      <c r="AT262" s="84"/>
    </row>
    <row r="263" spans="1:46">
      <c r="A263" s="84"/>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c r="AQ263" s="84"/>
      <c r="AR263" s="84"/>
      <c r="AS263" s="84"/>
      <c r="AT263" s="84"/>
    </row>
    <row r="264" spans="1:46">
      <c r="A264" s="84"/>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c r="AH264" s="84"/>
      <c r="AI264" s="84"/>
      <c r="AJ264" s="84"/>
      <c r="AK264" s="84"/>
      <c r="AL264" s="84"/>
      <c r="AM264" s="84"/>
      <c r="AN264" s="84"/>
      <c r="AO264" s="84"/>
      <c r="AP264" s="84"/>
      <c r="AQ264" s="84"/>
      <c r="AR264" s="84"/>
      <c r="AS264" s="84"/>
      <c r="AT264" s="84"/>
    </row>
    <row r="265" spans="1:46">
      <c r="A265" s="84"/>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84"/>
      <c r="AT265" s="84"/>
    </row>
    <row r="266" spans="1:46">
      <c r="A266" s="84"/>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c r="AQ266" s="84"/>
      <c r="AR266" s="84"/>
      <c r="AS266" s="84"/>
      <c r="AT266" s="84"/>
    </row>
    <row r="267" spans="1:46">
      <c r="A267" s="84"/>
      <c r="B267" s="84"/>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4"/>
      <c r="AR267" s="84"/>
      <c r="AS267" s="84"/>
      <c r="AT267" s="84"/>
    </row>
    <row r="268" spans="1:46">
      <c r="A268" s="84"/>
      <c r="B268" s="84"/>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c r="AH268" s="84"/>
      <c r="AI268" s="84"/>
      <c r="AJ268" s="84"/>
      <c r="AK268" s="84"/>
      <c r="AL268" s="84"/>
      <c r="AM268" s="84"/>
      <c r="AN268" s="84"/>
      <c r="AO268" s="84"/>
      <c r="AP268" s="84"/>
      <c r="AQ268" s="84"/>
      <c r="AR268" s="84"/>
      <c r="AS268" s="84"/>
      <c r="AT268" s="84"/>
    </row>
    <row r="269" spans="1:46">
      <c r="A269" s="84"/>
      <c r="B269" s="84"/>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c r="AQ269" s="84"/>
      <c r="AR269" s="84"/>
      <c r="AS269" s="84"/>
      <c r="AT269" s="84"/>
    </row>
    <row r="270" spans="1:46">
      <c r="A270" s="84"/>
      <c r="B270" s="84"/>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c r="AR270" s="84"/>
      <c r="AS270" s="84"/>
      <c r="AT270" s="84"/>
    </row>
    <row r="271" spans="1:46">
      <c r="A271" s="84"/>
      <c r="B271" s="84"/>
      <c r="C271" s="84"/>
      <c r="D271" s="84"/>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c r="AR271" s="84"/>
      <c r="AS271" s="84"/>
      <c r="AT271" s="84"/>
    </row>
    <row r="272" spans="1:46">
      <c r="A272" s="84"/>
      <c r="B272" s="84"/>
      <c r="C272" s="84"/>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c r="AR272" s="84"/>
      <c r="AS272" s="84"/>
      <c r="AT272" s="84"/>
    </row>
    <row r="273" spans="1:46">
      <c r="A273" s="84"/>
      <c r="B273" s="84"/>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c r="AR273" s="84"/>
      <c r="AS273" s="84"/>
      <c r="AT273" s="84"/>
    </row>
    <row r="274" spans="1:46">
      <c r="A274" s="84"/>
      <c r="B274" s="84"/>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4"/>
      <c r="AS274" s="84"/>
      <c r="AT274" s="84"/>
    </row>
    <row r="275" spans="1:46">
      <c r="A275" s="84"/>
      <c r="B275" s="84"/>
      <c r="C275" s="84"/>
      <c r="D275" s="84"/>
      <c r="E275" s="84"/>
      <c r="F275" s="84"/>
      <c r="G275" s="84"/>
      <c r="H275" s="84"/>
      <c r="I275" s="84"/>
      <c r="J275" s="84"/>
      <c r="K275" s="84"/>
      <c r="L275" s="84"/>
      <c r="M275" s="84"/>
      <c r="N275" s="84"/>
      <c r="O275" s="84"/>
      <c r="P275" s="84"/>
      <c r="Q275" s="84"/>
      <c r="R275" s="84"/>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c r="AR275" s="84"/>
      <c r="AS275" s="84"/>
      <c r="AT275" s="84"/>
    </row>
    <row r="276" spans="1:46">
      <c r="A276" s="84"/>
      <c r="B276" s="84"/>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row>
    <row r="277" spans="1:46">
      <c r="A277" s="84"/>
      <c r="B277" s="84"/>
      <c r="C277" s="84"/>
      <c r="D277" s="84"/>
      <c r="E277" s="84"/>
      <c r="F277" s="84"/>
      <c r="G277" s="84"/>
      <c r="H277" s="84"/>
      <c r="I277" s="84"/>
      <c r="J277" s="84"/>
      <c r="K277" s="84"/>
      <c r="L277" s="84"/>
      <c r="M277" s="84"/>
      <c r="N277" s="84"/>
      <c r="O277" s="84"/>
      <c r="P277" s="84"/>
      <c r="Q277" s="84"/>
      <c r="R277" s="84"/>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row>
    <row r="278" spans="1:46">
      <c r="A278" s="84"/>
      <c r="B278" s="84"/>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row>
    <row r="279" spans="1:46">
      <c r="A279" s="84"/>
      <c r="B279" s="84"/>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row>
    <row r="280" spans="1:46">
      <c r="A280" s="84"/>
      <c r="B280" s="84"/>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4"/>
      <c r="AS280" s="84"/>
      <c r="AT280" s="84"/>
    </row>
    <row r="281" spans="1:46">
      <c r="A281" s="84"/>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row>
    <row r="282" spans="1:46">
      <c r="A282" s="84"/>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row>
    <row r="283" spans="1:46">
      <c r="A283" s="84"/>
      <c r="B283" s="84"/>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c r="AR283" s="84"/>
      <c r="AS283" s="84"/>
      <c r="AT283" s="84"/>
    </row>
    <row r="284" spans="1:46">
      <c r="A284" s="84"/>
      <c r="B284" s="84"/>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row>
    <row r="285" spans="1:46">
      <c r="A285" s="84"/>
      <c r="B285" s="84"/>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row>
    <row r="286" spans="1:46">
      <c r="A286" s="84"/>
      <c r="B286" s="84"/>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row>
    <row r="287" spans="1:46">
      <c r="A287" s="84"/>
      <c r="B287" s="84"/>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row>
    <row r="288" spans="1:46">
      <c r="A288" s="84"/>
      <c r="B288" s="84"/>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row>
    <row r="289" spans="1:46">
      <c r="A289" s="84"/>
      <c r="B289" s="84"/>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row>
    <row r="290" spans="1:46">
      <c r="A290" s="84"/>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row>
    <row r="291" spans="1:46">
      <c r="A291" s="84"/>
      <c r="B291" s="84"/>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c r="AR291" s="84"/>
      <c r="AS291" s="84"/>
      <c r="AT291" s="84"/>
    </row>
  </sheetData>
  <sheetProtection algorithmName="SHA-512" hashValue="Zhmdj739OS7KRDA2PLzHijSOv/WH3N58QzgMR89EBoIaPW24WckM6E7vDcp8zlsW+uA+luCQnMq8VYw6oGDHiw==" saltValue="JEWy504gUTsmle3zsjCQEg==" spinCount="100000" sheet="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5167-F959-4DC0-A37F-D4C9752220DD}">
  <sheetPr>
    <tabColor theme="2" tint="0.39997558519241921"/>
  </sheetPr>
  <dimension ref="A1:AV226"/>
  <sheetViews>
    <sheetView topLeftCell="A7" workbookViewId="0">
      <selection activeCell="E23" sqref="E23"/>
    </sheetView>
  </sheetViews>
  <sheetFormatPr defaultRowHeight="14.25"/>
  <cols>
    <col min="1" max="1" width="19.25" bestFit="1" customWidth="1"/>
    <col min="2" max="2" width="56.75" customWidth="1"/>
    <col min="3" max="3" width="8.25" bestFit="1" customWidth="1"/>
    <col min="4" max="4" width="4.375" customWidth="1"/>
    <col min="5" max="5" width="14.875" bestFit="1" customWidth="1"/>
    <col min="6" max="6" width="35.875" bestFit="1" customWidth="1"/>
    <col min="7" max="7" width="4.625" bestFit="1" customWidth="1"/>
    <col min="8" max="8" width="6.75" customWidth="1"/>
    <col min="9" max="9" width="16.25" bestFit="1" customWidth="1"/>
  </cols>
  <sheetData>
    <row r="1" spans="1:31" ht="15.75">
      <c r="A1" s="85" t="s">
        <v>409</v>
      </c>
      <c r="B1" s="86" t="s">
        <v>1</v>
      </c>
      <c r="C1" s="86" t="s">
        <v>349</v>
      </c>
      <c r="D1" s="87"/>
      <c r="E1" s="120" t="s">
        <v>417</v>
      </c>
      <c r="F1" s="112"/>
      <c r="G1" s="163"/>
      <c r="H1" s="87"/>
      <c r="I1" s="87"/>
      <c r="J1" s="87"/>
      <c r="K1" s="87"/>
      <c r="L1" s="87"/>
      <c r="M1" s="158" t="s">
        <v>26</v>
      </c>
      <c r="N1" s="84"/>
      <c r="O1" s="84"/>
      <c r="P1" s="84"/>
      <c r="Q1" s="84"/>
      <c r="R1" s="84"/>
      <c r="S1" s="84"/>
      <c r="T1" s="84"/>
      <c r="U1" s="84"/>
      <c r="V1" s="84"/>
      <c r="W1" s="84"/>
      <c r="X1" s="84"/>
      <c r="Y1" s="84"/>
      <c r="Z1" s="84"/>
      <c r="AA1" s="84"/>
      <c r="AB1" s="84"/>
      <c r="AC1" s="84"/>
      <c r="AD1" s="84"/>
      <c r="AE1" s="84"/>
    </row>
    <row r="2" spans="1:31" ht="15">
      <c r="A2" s="91" t="s">
        <v>62</v>
      </c>
      <c r="B2" s="13" t="s">
        <v>63</v>
      </c>
      <c r="C2" s="62">
        <v>88</v>
      </c>
      <c r="D2" s="84"/>
      <c r="E2" s="1" t="s">
        <v>112</v>
      </c>
      <c r="F2" s="1" t="s">
        <v>113</v>
      </c>
      <c r="G2" s="12" t="s">
        <v>114</v>
      </c>
      <c r="H2" s="84"/>
      <c r="I2" s="84"/>
      <c r="J2" s="84"/>
      <c r="K2" s="84"/>
      <c r="L2" s="84"/>
      <c r="M2" s="116" t="s">
        <v>27</v>
      </c>
      <c r="N2" s="84"/>
      <c r="O2" s="84"/>
      <c r="P2" s="84"/>
      <c r="Q2" s="84"/>
      <c r="R2" s="84"/>
      <c r="S2" s="84"/>
      <c r="T2" s="84"/>
      <c r="U2" s="84"/>
      <c r="V2" s="84"/>
      <c r="W2" s="84"/>
      <c r="X2" s="84"/>
      <c r="Y2" s="84"/>
      <c r="Z2" s="84"/>
      <c r="AA2" s="84"/>
      <c r="AB2" s="84"/>
      <c r="AC2" s="84"/>
      <c r="AD2" s="84"/>
      <c r="AE2" s="84"/>
    </row>
    <row r="3" spans="1:31" ht="33.75" thickBot="1">
      <c r="A3" s="91" t="s">
        <v>22</v>
      </c>
      <c r="B3" s="13" t="s">
        <v>23</v>
      </c>
      <c r="C3" s="62">
        <f>K10</f>
        <v>3.1199999999999997</v>
      </c>
      <c r="D3" s="84"/>
      <c r="E3" s="1" t="s">
        <v>916</v>
      </c>
      <c r="F3" s="15">
        <f>'User Inputs'!B25</f>
        <v>58.35</v>
      </c>
      <c r="G3" s="1">
        <f>IF(F3&lt;=40.28, 60, IF(F3&lt;=42.44, 67, IF(F3&lt;=57.02, 73, IF(F3&lt;=57.2, 76, IF(F3&lt;=70.7, 76, IF(F3&lt;=78.62, 80, 80))))))</f>
        <v>76</v>
      </c>
      <c r="H3" s="84"/>
      <c r="I3" s="84"/>
      <c r="J3" s="84"/>
      <c r="K3" s="84"/>
      <c r="L3" s="84"/>
      <c r="M3" s="159"/>
      <c r="N3" s="84"/>
      <c r="O3" s="84"/>
      <c r="P3" s="84"/>
      <c r="Q3" s="84"/>
      <c r="R3" s="84"/>
      <c r="S3" s="84"/>
      <c r="T3" s="84"/>
      <c r="U3" s="84"/>
      <c r="V3" s="84"/>
      <c r="W3" s="84"/>
      <c r="X3" s="84"/>
      <c r="Y3" s="84"/>
      <c r="Z3" s="84"/>
      <c r="AA3" s="84"/>
      <c r="AB3" s="84"/>
      <c r="AC3" s="84"/>
      <c r="AD3" s="84"/>
      <c r="AE3" s="84"/>
    </row>
    <row r="4" spans="1:31" ht="17.25" thickBot="1">
      <c r="A4" s="91" t="s">
        <v>87</v>
      </c>
      <c r="B4" s="13" t="s">
        <v>412</v>
      </c>
      <c r="C4" s="63" t="str">
        <f>'User Inputs'!B4</f>
        <v>Heifer</v>
      </c>
      <c r="D4" s="84"/>
      <c r="E4" s="1" t="s">
        <v>917</v>
      </c>
      <c r="F4" s="15">
        <f>'User Inputs'!B25</f>
        <v>58.35</v>
      </c>
      <c r="G4" s="164">
        <f>IF(F4&lt;=40.28,1, IF(F4&lt;=42.44, 1, IF(F4&lt;=57.02, 1.5, IF(F4&lt;=57.2, 1.5, IF(F4&lt;=70.7, 2, IF(F4&lt;=78.62, 80, 2))))))</f>
        <v>2</v>
      </c>
      <c r="H4" s="84"/>
      <c r="I4" s="195" t="s">
        <v>28</v>
      </c>
      <c r="J4" s="196"/>
      <c r="K4" s="197"/>
      <c r="L4" s="84"/>
      <c r="M4" s="160" t="s">
        <v>32</v>
      </c>
      <c r="N4" s="84"/>
      <c r="O4" s="84"/>
      <c r="P4" s="84"/>
      <c r="Q4" s="84"/>
      <c r="R4" s="84"/>
      <c r="S4" s="84"/>
      <c r="T4" s="84"/>
      <c r="U4" s="84"/>
      <c r="V4" s="84"/>
      <c r="W4" s="84"/>
      <c r="X4" s="84"/>
      <c r="Y4" s="84"/>
      <c r="Z4" s="84"/>
      <c r="AA4" s="84"/>
      <c r="AB4" s="84"/>
      <c r="AC4" s="84"/>
      <c r="AD4" s="84"/>
      <c r="AE4" s="84"/>
    </row>
    <row r="5" spans="1:31" ht="30" thickTop="1">
      <c r="A5" s="91" t="s">
        <v>79</v>
      </c>
      <c r="B5" s="13" t="s">
        <v>413</v>
      </c>
      <c r="C5" s="62">
        <f>((CONVERT('User Inputs'!B7, "lbm", "kg")/'User Inputs'!B5) + (CONVERT('User Inputs'!B8, "lbm", "kg")/'User Inputs'!B6))/2</f>
        <v>423.09951391449925</v>
      </c>
      <c r="D5" s="84"/>
      <c r="E5" s="12" t="s">
        <v>337</v>
      </c>
      <c r="F5" s="12" t="s">
        <v>338</v>
      </c>
      <c r="G5" s="118"/>
      <c r="H5" s="84"/>
      <c r="I5" s="165" t="s">
        <v>29</v>
      </c>
      <c r="J5" s="4" t="s">
        <v>30</v>
      </c>
      <c r="K5" s="5" t="s">
        <v>31</v>
      </c>
      <c r="L5" s="84"/>
      <c r="M5" s="160" t="s">
        <v>34</v>
      </c>
      <c r="N5" s="84"/>
      <c r="O5" s="84"/>
      <c r="P5" s="84"/>
      <c r="Q5" s="84"/>
      <c r="R5" s="84"/>
      <c r="S5" s="84"/>
      <c r="T5" s="84"/>
      <c r="U5" s="84"/>
      <c r="V5" s="84"/>
      <c r="W5" s="84"/>
      <c r="X5" s="84"/>
      <c r="Y5" s="84"/>
      <c r="Z5" s="84"/>
      <c r="AA5" s="84"/>
      <c r="AB5" s="84"/>
      <c r="AC5" s="84"/>
      <c r="AD5" s="84"/>
      <c r="AE5" s="84"/>
    </row>
    <row r="6" spans="1:31" ht="15">
      <c r="A6" s="113" t="s">
        <v>68</v>
      </c>
      <c r="B6" s="11" t="s">
        <v>69</v>
      </c>
      <c r="C6" s="62">
        <f>((CONVERT('User Inputs'!B7, "lbm", "kg")/'User Inputs'!B5) + (CONVERT('User Inputs'!B8, "lbm", "kg")/'User Inputs'!B6))/2</f>
        <v>423.09951391449925</v>
      </c>
      <c r="D6" s="84"/>
      <c r="E6" s="1" t="s">
        <v>410</v>
      </c>
      <c r="F6" s="1" t="s">
        <v>26</v>
      </c>
      <c r="G6" s="118"/>
      <c r="H6" s="84"/>
      <c r="I6" s="6" t="s">
        <v>33</v>
      </c>
      <c r="J6" s="2" t="str">
        <f>'User Inputs'!E6</f>
        <v>yes</v>
      </c>
      <c r="K6" s="7">
        <f>IF(J6="yes", 0, 0.03)</f>
        <v>0</v>
      </c>
      <c r="L6" s="84"/>
      <c r="M6" s="160" t="s">
        <v>35</v>
      </c>
      <c r="N6" s="84"/>
      <c r="O6" s="84"/>
      <c r="P6" s="84"/>
      <c r="Q6" s="84"/>
      <c r="R6" s="84"/>
      <c r="S6" s="84"/>
      <c r="T6" s="84"/>
      <c r="U6" s="84"/>
      <c r="V6" s="84"/>
      <c r="W6" s="84"/>
      <c r="X6" s="84"/>
      <c r="Y6" s="84"/>
      <c r="Z6" s="84"/>
      <c r="AA6" s="84"/>
      <c r="AB6" s="84"/>
      <c r="AC6" s="84"/>
      <c r="AD6" s="84"/>
      <c r="AE6" s="84"/>
    </row>
    <row r="7" spans="1:31" ht="43.5">
      <c r="A7" s="91" t="s">
        <v>416</v>
      </c>
      <c r="B7" s="13" t="s">
        <v>188</v>
      </c>
      <c r="C7" s="62">
        <f>(CONVERT('User Inputs'!B8, "lbm", "kg")/'User Inputs'!B6)</f>
        <v>578.38787078111113</v>
      </c>
      <c r="D7" s="84"/>
      <c r="E7" s="1" t="s">
        <v>411</v>
      </c>
      <c r="F7" s="1" t="s">
        <v>27</v>
      </c>
      <c r="G7" s="118"/>
      <c r="H7" s="84"/>
      <c r="I7" s="6" t="s">
        <v>4</v>
      </c>
      <c r="J7" s="2" t="str">
        <f>'User Inputs'!E10</f>
        <v>2%</v>
      </c>
      <c r="K7" s="7">
        <f>IF(J7="0%", 0.12, IF(J7="1%", 0.08, IF(J7="2%", 0.04, 0)))</f>
        <v>0.04</v>
      </c>
      <c r="L7" s="84"/>
      <c r="M7" s="160" t="s">
        <v>38</v>
      </c>
      <c r="N7" s="84"/>
      <c r="O7" s="84"/>
      <c r="P7" s="84"/>
      <c r="Q7" s="84"/>
      <c r="R7" s="84"/>
      <c r="S7" s="84"/>
      <c r="T7" s="84"/>
      <c r="U7" s="84"/>
      <c r="V7" s="84"/>
      <c r="W7" s="84"/>
      <c r="X7" s="84"/>
      <c r="Y7" s="84"/>
      <c r="Z7" s="84"/>
      <c r="AA7" s="84"/>
      <c r="AB7" s="84"/>
      <c r="AC7" s="84"/>
      <c r="AD7" s="84"/>
      <c r="AE7" s="84"/>
    </row>
    <row r="8" spans="1:31" ht="15">
      <c r="A8" s="91" t="s">
        <v>85</v>
      </c>
      <c r="B8" s="13" t="s">
        <v>415</v>
      </c>
      <c r="C8" s="62">
        <f>CONVERT('User Inputs'!B21, "lbm", "kg")</f>
        <v>1.1611964672000001</v>
      </c>
      <c r="D8" s="84"/>
      <c r="E8" s="119"/>
      <c r="F8" s="12" t="s">
        <v>339</v>
      </c>
      <c r="G8" s="118"/>
      <c r="H8" s="84"/>
      <c r="I8" s="6" t="s">
        <v>36</v>
      </c>
      <c r="J8" s="2" t="str">
        <f>IF('User Inputs'!E9=N9,M9,IF('User Inputs'!E9=N10,M10,IF('User Inputs'!E9=N11,M11,"n/a")))</f>
        <v>SFC or HMC(HMS)</v>
      </c>
      <c r="K8" s="7">
        <f>IF(J8= "unprocessed C/S", 0.2, 0)</f>
        <v>0</v>
      </c>
      <c r="L8" s="84"/>
      <c r="M8" s="159"/>
      <c r="N8" s="84"/>
      <c r="O8" s="84"/>
      <c r="P8" s="84"/>
      <c r="Q8" s="84"/>
      <c r="R8" s="84"/>
      <c r="S8" s="84"/>
      <c r="T8" s="84"/>
      <c r="U8" s="84"/>
      <c r="V8" s="84"/>
      <c r="W8" s="84"/>
      <c r="X8" s="84"/>
      <c r="Y8" s="84"/>
      <c r="Z8" s="84"/>
      <c r="AA8" s="84"/>
      <c r="AB8" s="84"/>
      <c r="AC8" s="84"/>
      <c r="AD8" s="84"/>
      <c r="AE8" s="84"/>
    </row>
    <row r="9" spans="1:31" ht="15.75" thickBot="1">
      <c r="A9" s="91" t="s">
        <v>107</v>
      </c>
      <c r="B9" s="13" t="s">
        <v>108</v>
      </c>
      <c r="C9" s="65">
        <v>0.33</v>
      </c>
      <c r="D9" s="84"/>
      <c r="E9" s="118"/>
      <c r="F9" s="1" t="s">
        <v>26</v>
      </c>
      <c r="G9" s="118"/>
      <c r="H9" s="84"/>
      <c r="I9" s="166" t="s">
        <v>39</v>
      </c>
      <c r="J9" s="8">
        <v>4</v>
      </c>
      <c r="K9" s="9">
        <f>IF(J9=4, 0)</f>
        <v>0</v>
      </c>
      <c r="L9" s="84"/>
      <c r="M9" s="116" t="s">
        <v>37</v>
      </c>
      <c r="N9" s="84" t="s">
        <v>908</v>
      </c>
      <c r="O9" s="84"/>
      <c r="P9" s="84"/>
      <c r="Q9" s="84"/>
      <c r="R9" s="84"/>
      <c r="S9" s="84"/>
      <c r="T9" s="84"/>
      <c r="U9" s="84"/>
      <c r="V9" s="84"/>
      <c r="W9" s="84"/>
      <c r="X9" s="84"/>
      <c r="Y9" s="84"/>
      <c r="Z9" s="84"/>
      <c r="AA9" s="84"/>
      <c r="AB9" s="84"/>
      <c r="AC9" s="84"/>
      <c r="AD9" s="84"/>
      <c r="AE9" s="84"/>
    </row>
    <row r="10" spans="1:31" ht="30" thickBot="1">
      <c r="A10" s="91" t="s">
        <v>109</v>
      </c>
      <c r="B10" s="13" t="s">
        <v>918</v>
      </c>
      <c r="C10" s="64">
        <f>G3</f>
        <v>76</v>
      </c>
      <c r="D10" s="84"/>
      <c r="E10" s="118"/>
      <c r="F10" s="1" t="s">
        <v>27</v>
      </c>
      <c r="G10" s="118"/>
      <c r="H10" s="84"/>
      <c r="I10" s="167" t="s">
        <v>40</v>
      </c>
      <c r="J10" s="10">
        <v>0.03</v>
      </c>
      <c r="K10" s="152">
        <f>(J10+(J10*K6)+(J10*K7)+(J10*K8)+(J10*K9))*100</f>
        <v>3.1199999999999997</v>
      </c>
      <c r="L10" s="84"/>
      <c r="M10" s="116" t="s">
        <v>41</v>
      </c>
      <c r="N10" s="84" t="s">
        <v>909</v>
      </c>
      <c r="O10" s="84"/>
      <c r="P10" s="84"/>
      <c r="Q10" s="84"/>
      <c r="R10" s="84"/>
      <c r="S10" s="84"/>
      <c r="T10" s="84"/>
      <c r="U10" s="84"/>
      <c r="V10" s="84"/>
      <c r="W10" s="84"/>
      <c r="X10" s="84"/>
      <c r="Y10" s="84"/>
      <c r="Z10" s="84"/>
      <c r="AA10" s="84"/>
      <c r="AB10" s="84"/>
      <c r="AC10" s="84"/>
      <c r="AD10" s="84"/>
      <c r="AE10" s="84"/>
    </row>
    <row r="11" spans="1:31" ht="15">
      <c r="A11" s="91" t="s">
        <v>120</v>
      </c>
      <c r="B11" s="13" t="s">
        <v>121</v>
      </c>
      <c r="C11" s="64">
        <f>(CONVERT(('User Inputs'!B8-'User Inputs'!B7)/'User Inputs'!B6, "lbm", "kg"))</f>
        <v>276.5689477588889</v>
      </c>
      <c r="D11" s="84"/>
      <c r="E11" s="118"/>
      <c r="F11" s="12" t="s">
        <v>394</v>
      </c>
      <c r="G11" s="118"/>
      <c r="H11" s="84"/>
      <c r="I11" s="84"/>
      <c r="J11" s="84"/>
      <c r="K11" s="84"/>
      <c r="L11" s="84"/>
      <c r="M11" s="116" t="s">
        <v>42</v>
      </c>
      <c r="N11" s="84" t="s">
        <v>910</v>
      </c>
      <c r="O11" s="84"/>
      <c r="P11" s="84"/>
      <c r="Q11" s="84"/>
      <c r="R11" s="84"/>
      <c r="S11" s="84"/>
      <c r="T11" s="84"/>
      <c r="U11" s="84"/>
      <c r="V11" s="84"/>
      <c r="W11" s="84"/>
      <c r="X11" s="84"/>
      <c r="Y11" s="84"/>
      <c r="Z11" s="84"/>
      <c r="AA11" s="84"/>
      <c r="AB11" s="84"/>
      <c r="AC11" s="84"/>
      <c r="AD11" s="84"/>
      <c r="AE11" s="84"/>
    </row>
    <row r="12" spans="1:31" ht="15">
      <c r="A12" s="91" t="s">
        <v>183</v>
      </c>
      <c r="B12" s="1" t="s">
        <v>184</v>
      </c>
      <c r="C12" s="65">
        <v>27.2</v>
      </c>
      <c r="D12" s="84"/>
      <c r="E12" s="118"/>
      <c r="F12" s="1" t="s">
        <v>26</v>
      </c>
      <c r="G12" s="118"/>
      <c r="H12" s="84"/>
      <c r="I12" s="84"/>
      <c r="J12" s="84"/>
      <c r="K12" s="84"/>
      <c r="L12" s="84"/>
      <c r="M12" s="159"/>
      <c r="N12" s="84"/>
      <c r="O12" s="84"/>
      <c r="P12" s="84"/>
      <c r="Q12" s="84"/>
      <c r="R12" s="84"/>
      <c r="S12" s="84"/>
      <c r="T12" s="84"/>
      <c r="U12" s="84"/>
      <c r="V12" s="84"/>
      <c r="W12" s="84"/>
      <c r="X12" s="84"/>
      <c r="Y12" s="84"/>
      <c r="Z12" s="84"/>
      <c r="AA12" s="84"/>
      <c r="AB12" s="84"/>
      <c r="AC12" s="84"/>
      <c r="AD12" s="84"/>
      <c r="AE12" s="84"/>
    </row>
    <row r="13" spans="1:31" ht="15">
      <c r="A13" s="91" t="s">
        <v>187</v>
      </c>
      <c r="B13" s="1" t="s">
        <v>184</v>
      </c>
      <c r="C13" s="65">
        <v>265</v>
      </c>
      <c r="D13" s="84"/>
      <c r="E13" s="118"/>
      <c r="F13" s="1" t="s">
        <v>27</v>
      </c>
      <c r="G13" s="118"/>
      <c r="H13" s="84"/>
      <c r="I13" s="84"/>
      <c r="J13" s="84"/>
      <c r="K13" s="84"/>
      <c r="L13" s="84"/>
      <c r="M13" s="116">
        <v>4</v>
      </c>
      <c r="N13" s="84"/>
      <c r="O13" s="84"/>
      <c r="P13" s="84"/>
      <c r="Q13" s="84"/>
      <c r="R13" s="84"/>
      <c r="S13" s="84"/>
      <c r="T13" s="84"/>
      <c r="U13" s="84"/>
      <c r="V13" s="84"/>
      <c r="W13" s="84"/>
      <c r="X13" s="84"/>
      <c r="Y13" s="84"/>
      <c r="Z13" s="84"/>
      <c r="AA13" s="84"/>
      <c r="AB13" s="84"/>
      <c r="AC13" s="84"/>
      <c r="AD13" s="84"/>
      <c r="AE13" s="84"/>
    </row>
    <row r="14" spans="1:31" ht="15">
      <c r="A14" s="192" t="s">
        <v>186</v>
      </c>
      <c r="B14" s="193"/>
      <c r="C14" s="194"/>
      <c r="D14" s="84"/>
      <c r="E14" s="118"/>
      <c r="F14" s="12" t="s">
        <v>395</v>
      </c>
      <c r="G14" s="118"/>
      <c r="H14" s="154"/>
      <c r="I14" s="153"/>
      <c r="J14" s="84"/>
      <c r="K14" s="84"/>
      <c r="L14" s="84"/>
      <c r="M14" s="116" t="s">
        <v>43</v>
      </c>
      <c r="N14" s="84"/>
      <c r="O14" s="84"/>
      <c r="P14" s="84"/>
      <c r="Q14" s="84"/>
      <c r="R14" s="84"/>
      <c r="S14" s="84"/>
      <c r="T14" s="84"/>
      <c r="U14" s="84"/>
      <c r="V14" s="84"/>
      <c r="W14" s="84"/>
      <c r="X14" s="84"/>
      <c r="Y14" s="84"/>
      <c r="Z14" s="84"/>
      <c r="AA14" s="84"/>
      <c r="AB14" s="84"/>
      <c r="AC14" s="84"/>
      <c r="AD14" s="84"/>
      <c r="AE14" s="84"/>
    </row>
    <row r="15" spans="1:31" ht="15.75" thickBot="1">
      <c r="A15" s="90" t="s">
        <v>426</v>
      </c>
      <c r="B15" s="73" t="s">
        <v>866</v>
      </c>
      <c r="C15" s="74">
        <f>'User Inputs'!B20*'User Inputs'!B6</f>
        <v>14616</v>
      </c>
      <c r="D15" s="84"/>
      <c r="E15" s="118"/>
      <c r="F15" s="1" t="s">
        <v>396</v>
      </c>
      <c r="G15" s="118"/>
      <c r="H15" s="97"/>
      <c r="I15" s="97"/>
      <c r="J15" s="97"/>
      <c r="K15" s="97"/>
      <c r="L15" s="155"/>
      <c r="M15" s="156" t="s">
        <v>44</v>
      </c>
      <c r="N15" s="157"/>
      <c r="O15" s="84"/>
      <c r="P15" s="84"/>
      <c r="Q15" s="84"/>
      <c r="R15" s="84"/>
      <c r="S15" s="84"/>
      <c r="T15" s="84"/>
      <c r="U15" s="84"/>
      <c r="V15" s="84"/>
      <c r="W15" s="84"/>
      <c r="X15" s="84"/>
      <c r="Y15" s="84"/>
      <c r="Z15" s="84"/>
      <c r="AA15" s="84"/>
      <c r="AB15" s="84"/>
      <c r="AC15" s="84"/>
      <c r="AD15" s="84"/>
      <c r="AE15" s="84"/>
    </row>
    <row r="16" spans="1:31" ht="15">
      <c r="A16" s="90" t="s">
        <v>433</v>
      </c>
      <c r="B16" s="73" t="s">
        <v>434</v>
      </c>
      <c r="C16" s="64">
        <f>'User Inputs'!B15</f>
        <v>55</v>
      </c>
      <c r="D16" s="84"/>
      <c r="E16" s="118"/>
      <c r="F16" s="1" t="s">
        <v>397</v>
      </c>
      <c r="G16" s="114"/>
      <c r="H16" s="84"/>
      <c r="I16" s="84"/>
      <c r="J16" s="84"/>
      <c r="K16" s="84"/>
      <c r="L16" s="84"/>
      <c r="M16" s="87"/>
      <c r="N16" s="84"/>
      <c r="O16" s="84"/>
      <c r="P16" s="84"/>
      <c r="Q16" s="84"/>
      <c r="R16" s="84"/>
      <c r="S16" s="84"/>
      <c r="T16" s="84"/>
      <c r="U16" s="84"/>
      <c r="V16" s="84"/>
      <c r="W16" s="84"/>
      <c r="X16" s="84"/>
      <c r="Y16" s="84"/>
      <c r="Z16" s="84"/>
      <c r="AA16" s="84"/>
      <c r="AB16" s="84"/>
      <c r="AC16" s="84"/>
      <c r="AD16" s="84"/>
      <c r="AE16" s="84"/>
    </row>
    <row r="17" spans="1:48" ht="15">
      <c r="A17" s="90" t="s">
        <v>436</v>
      </c>
      <c r="B17" s="73" t="s">
        <v>437</v>
      </c>
      <c r="C17" s="64">
        <f>'User Inputs'!B13</f>
        <v>342</v>
      </c>
      <c r="D17" s="84"/>
      <c r="E17" s="118"/>
      <c r="F17" s="12" t="s">
        <v>430</v>
      </c>
      <c r="G17" s="114"/>
      <c r="H17" s="84"/>
      <c r="I17" s="84"/>
      <c r="J17" s="84"/>
      <c r="K17" s="84"/>
      <c r="L17" s="84"/>
      <c r="M17" s="84"/>
      <c r="N17" s="84"/>
      <c r="O17" s="84"/>
      <c r="P17" s="84"/>
      <c r="Q17" s="84"/>
      <c r="R17" s="84"/>
      <c r="S17" s="84"/>
      <c r="T17" s="84"/>
      <c r="U17" s="84"/>
      <c r="V17" s="84"/>
      <c r="W17" s="84"/>
      <c r="X17" s="84"/>
      <c r="Y17" s="84"/>
      <c r="Z17" s="84"/>
      <c r="AA17" s="84"/>
      <c r="AB17" s="84"/>
      <c r="AC17" s="84"/>
      <c r="AD17" s="84"/>
      <c r="AE17" s="84"/>
    </row>
    <row r="18" spans="1:48" ht="15">
      <c r="A18" s="90" t="s">
        <v>867</v>
      </c>
      <c r="B18" s="73" t="s">
        <v>437</v>
      </c>
      <c r="C18" s="64">
        <f>C17+C16</f>
        <v>397</v>
      </c>
      <c r="D18" s="84"/>
      <c r="E18" s="118"/>
      <c r="F18" s="1" t="s">
        <v>26</v>
      </c>
      <c r="G18" s="114"/>
      <c r="H18" s="84"/>
      <c r="I18" s="198" t="s">
        <v>126</v>
      </c>
      <c r="J18" s="198"/>
      <c r="K18" s="1"/>
      <c r="L18" s="84"/>
      <c r="M18" s="84"/>
      <c r="N18" s="84"/>
      <c r="O18" s="84"/>
      <c r="P18" s="84"/>
      <c r="Q18" s="84"/>
      <c r="R18" s="84"/>
      <c r="S18" s="84"/>
      <c r="T18" s="84"/>
      <c r="U18" s="84"/>
      <c r="V18" s="84"/>
      <c r="W18" s="84"/>
      <c r="X18" s="84"/>
      <c r="Y18" s="84"/>
      <c r="Z18" s="84"/>
      <c r="AA18" s="84"/>
      <c r="AB18" s="84"/>
      <c r="AC18" s="84"/>
      <c r="AD18" s="84"/>
      <c r="AE18" s="84"/>
    </row>
    <row r="19" spans="1:48" ht="15.75" thickBot="1">
      <c r="A19" s="90" t="s">
        <v>435</v>
      </c>
      <c r="B19" s="73" t="s">
        <v>438</v>
      </c>
      <c r="C19" s="74">
        <f>C15+C18</f>
        <v>15013</v>
      </c>
      <c r="D19" s="161"/>
      <c r="E19" s="121"/>
      <c r="F19" s="117" t="s">
        <v>27</v>
      </c>
      <c r="G19" s="115"/>
      <c r="H19" s="84"/>
      <c r="I19" s="1" t="s">
        <v>127</v>
      </c>
      <c r="J19" s="1" t="s">
        <v>128</v>
      </c>
      <c r="K19" s="12" t="s">
        <v>114</v>
      </c>
      <c r="L19" s="84"/>
      <c r="M19" s="84"/>
      <c r="N19" s="84"/>
      <c r="O19" s="84"/>
      <c r="P19" s="84"/>
      <c r="Q19" s="84"/>
      <c r="R19" s="84"/>
      <c r="S19" s="84"/>
      <c r="T19" s="84"/>
      <c r="U19" s="84"/>
      <c r="V19" s="84"/>
      <c r="W19" s="84"/>
      <c r="X19" s="84"/>
      <c r="Y19" s="84"/>
      <c r="Z19" s="84"/>
      <c r="AA19" s="84"/>
      <c r="AB19" s="84"/>
      <c r="AC19" s="84"/>
      <c r="AD19" s="84"/>
      <c r="AE19" s="84"/>
    </row>
    <row r="20" spans="1:48" ht="15">
      <c r="A20" s="90" t="s">
        <v>888</v>
      </c>
      <c r="B20" s="73" t="s">
        <v>890</v>
      </c>
      <c r="C20" s="74">
        <f>CONVERT('User Inputs'!B8, "lbm", "kg")</f>
        <v>36438.435859210003</v>
      </c>
      <c r="D20" s="84"/>
      <c r="F20" s="84"/>
      <c r="G20" s="84"/>
      <c r="H20" s="84"/>
      <c r="I20" s="20" t="s">
        <v>129</v>
      </c>
      <c r="J20" s="21">
        <v>40.28</v>
      </c>
      <c r="K20" s="1">
        <v>60</v>
      </c>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row>
    <row r="21" spans="1:48" ht="15">
      <c r="A21" s="90" t="s">
        <v>889</v>
      </c>
      <c r="B21" s="73" t="s">
        <v>890</v>
      </c>
      <c r="C21" s="74">
        <f>CONVERT('User Inputs'!B18, "lbm", "kg")</f>
        <v>22553.519821140002</v>
      </c>
      <c r="D21" s="84"/>
      <c r="E21" s="84"/>
      <c r="F21" s="84"/>
      <c r="G21" s="84"/>
      <c r="H21" s="84"/>
      <c r="I21" s="20" t="s">
        <v>130</v>
      </c>
      <c r="J21" s="21">
        <v>42.44</v>
      </c>
      <c r="K21" s="1">
        <v>67</v>
      </c>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row>
    <row r="22" spans="1:48" ht="15">
      <c r="A22" s="90" t="s">
        <v>891</v>
      </c>
      <c r="B22" s="73" t="s">
        <v>890</v>
      </c>
      <c r="C22" s="74">
        <f>CONVERT('User Inputs'!E12, "lbm", "kg")</f>
        <v>113075.58832492999</v>
      </c>
      <c r="D22" s="84"/>
      <c r="E22" s="84"/>
      <c r="F22" s="84"/>
      <c r="G22" s="84"/>
      <c r="H22" s="84"/>
      <c r="I22" s="20" t="s">
        <v>131</v>
      </c>
      <c r="J22" s="21">
        <v>57.02</v>
      </c>
      <c r="K22" s="1">
        <v>73</v>
      </c>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row>
    <row r="23" spans="1:48" ht="15">
      <c r="A23" s="90" t="s">
        <v>929</v>
      </c>
      <c r="B23" s="73" t="s">
        <v>928</v>
      </c>
      <c r="C23" s="74">
        <f>'User Inputs'!B8-'User Inputs'!B7</f>
        <v>38413</v>
      </c>
      <c r="D23" s="84"/>
      <c r="E23" s="84"/>
      <c r="F23" s="84"/>
      <c r="G23" s="84"/>
      <c r="H23" s="84"/>
      <c r="I23" s="20" t="s">
        <v>132</v>
      </c>
      <c r="J23" s="21">
        <v>57.2</v>
      </c>
      <c r="K23" s="1">
        <v>76</v>
      </c>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row>
    <row r="24" spans="1:48" ht="15.75" thickBot="1">
      <c r="A24" s="95" t="s">
        <v>930</v>
      </c>
      <c r="B24" s="162" t="s">
        <v>890</v>
      </c>
      <c r="C24" s="186">
        <f>CONVERT(C23, "lbm", "kg")</f>
        <v>17423.843708810004</v>
      </c>
      <c r="D24" s="84"/>
      <c r="E24" s="84"/>
      <c r="F24" s="84"/>
      <c r="G24" s="84"/>
      <c r="H24" s="84"/>
      <c r="I24" s="20" t="s">
        <v>133</v>
      </c>
      <c r="J24" s="21">
        <v>70.7</v>
      </c>
      <c r="K24" s="1">
        <v>76</v>
      </c>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row>
    <row r="25" spans="1:48">
      <c r="A25" s="84"/>
      <c r="B25" s="84"/>
      <c r="C25" s="84"/>
      <c r="D25" s="84"/>
      <c r="E25" s="84"/>
      <c r="F25" s="84"/>
      <c r="G25" s="84"/>
      <c r="H25" s="84"/>
      <c r="I25" s="20" t="s">
        <v>134</v>
      </c>
      <c r="J25" s="21">
        <v>78.62</v>
      </c>
      <c r="K25" s="1">
        <v>80</v>
      </c>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row>
    <row r="26" spans="1:48">
      <c r="A26" s="84"/>
      <c r="B26" s="84"/>
      <c r="C26" s="84"/>
      <c r="D26" s="84"/>
      <c r="E26" s="84"/>
      <c r="F26" s="84"/>
      <c r="G26" s="84"/>
      <c r="H26" s="84"/>
      <c r="I26" s="20" t="s">
        <v>135</v>
      </c>
      <c r="J26" s="21">
        <v>77.36</v>
      </c>
      <c r="K26" s="1">
        <v>80</v>
      </c>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row>
    <row r="27" spans="1:48">
      <c r="A27" s="84"/>
      <c r="B27" s="84"/>
      <c r="C27" s="84"/>
      <c r="D27" s="84"/>
      <c r="E27" s="84"/>
      <c r="F27" s="84"/>
      <c r="G27" s="84"/>
      <c r="H27" s="84"/>
      <c r="I27" s="20" t="s">
        <v>136</v>
      </c>
      <c r="J27" s="21">
        <v>77.900000000000006</v>
      </c>
      <c r="K27" s="1">
        <v>80</v>
      </c>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row>
    <row r="28" spans="1:48">
      <c r="A28" s="84"/>
      <c r="B28" s="84"/>
      <c r="C28" s="84"/>
      <c r="D28" s="84"/>
      <c r="E28" s="84"/>
      <c r="F28" s="84"/>
      <c r="G28" s="84"/>
      <c r="H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row>
    <row r="29" spans="1:48" ht="15">
      <c r="A29" s="84"/>
      <c r="B29" s="84"/>
      <c r="C29" s="84"/>
      <c r="D29" s="84"/>
      <c r="E29" s="84"/>
      <c r="F29" s="84"/>
      <c r="G29" s="84"/>
      <c r="H29" s="84"/>
      <c r="I29" s="12" t="s">
        <v>137</v>
      </c>
      <c r="J29" s="1"/>
      <c r="K29" s="1"/>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row>
    <row r="30" spans="1:48">
      <c r="A30" s="84"/>
      <c r="B30" s="84"/>
      <c r="C30" s="84"/>
      <c r="D30" s="84"/>
      <c r="E30" s="84"/>
      <c r="F30" s="84"/>
      <c r="G30" s="84"/>
      <c r="H30" s="84"/>
      <c r="I30" s="1" t="s">
        <v>138</v>
      </c>
      <c r="J30" s="21">
        <v>57.1</v>
      </c>
      <c r="K30" s="1">
        <f t="shared" ref="K30:K35" si="0">IF(J30&lt;=40.28, 60, IF(J30&lt;=42.44, 67, IF(J30&lt;=57.02, 73, IF(J30&lt;=57.2, 76, IF(J30&lt;=70.7, 76, IF(J30&lt;=78.62, 80, 80))))))</f>
        <v>76</v>
      </c>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row>
    <row r="31" spans="1:48">
      <c r="A31" s="84"/>
      <c r="B31" s="84"/>
      <c r="C31" s="84"/>
      <c r="D31" s="84"/>
      <c r="E31" s="84"/>
      <c r="F31" s="84"/>
      <c r="G31" s="84"/>
      <c r="H31" s="84"/>
      <c r="I31" s="1" t="s">
        <v>139</v>
      </c>
      <c r="J31" s="21">
        <v>57.1</v>
      </c>
      <c r="K31" s="1">
        <f t="shared" si="0"/>
        <v>76</v>
      </c>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row>
    <row r="32" spans="1:48">
      <c r="A32" s="84"/>
      <c r="B32" s="84"/>
      <c r="C32" s="84"/>
      <c r="D32" s="84"/>
      <c r="E32" s="84"/>
      <c r="F32" s="84"/>
      <c r="G32" s="84"/>
      <c r="H32" s="84"/>
      <c r="I32" s="1" t="s">
        <v>140</v>
      </c>
      <c r="J32" s="21">
        <v>50</v>
      </c>
      <c r="K32" s="1">
        <f t="shared" si="0"/>
        <v>73</v>
      </c>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row>
    <row r="33" spans="1:48">
      <c r="A33" s="84"/>
      <c r="B33" s="84"/>
      <c r="C33" s="84"/>
      <c r="D33" s="84"/>
      <c r="E33" s="84"/>
      <c r="F33" s="84"/>
      <c r="G33" s="84"/>
      <c r="H33" s="84"/>
      <c r="I33" s="1" t="s">
        <v>141</v>
      </c>
      <c r="J33" s="21">
        <v>54</v>
      </c>
      <c r="K33" s="1">
        <f t="shared" si="0"/>
        <v>73</v>
      </c>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row>
    <row r="34" spans="1:48">
      <c r="A34" s="84"/>
      <c r="B34" s="84"/>
      <c r="C34" s="84"/>
      <c r="D34" s="84"/>
      <c r="E34" s="84"/>
      <c r="F34" s="84"/>
      <c r="G34" s="84"/>
      <c r="H34" s="84"/>
      <c r="I34" s="1" t="s">
        <v>920</v>
      </c>
      <c r="J34" s="21">
        <v>58.35</v>
      </c>
      <c r="K34" s="1">
        <f t="shared" si="0"/>
        <v>76</v>
      </c>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row>
    <row r="35" spans="1:48">
      <c r="A35" s="84"/>
      <c r="B35" s="84"/>
      <c r="C35" s="84"/>
      <c r="D35" s="84"/>
      <c r="E35" s="84"/>
      <c r="F35" s="84"/>
      <c r="G35" s="84"/>
      <c r="H35" s="84"/>
      <c r="I35" s="169" t="s">
        <v>921</v>
      </c>
      <c r="J35" s="169">
        <v>50</v>
      </c>
      <c r="K35" s="169">
        <f t="shared" si="0"/>
        <v>73</v>
      </c>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row>
    <row r="36" spans="1:48">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row>
    <row r="37" spans="1:48">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row>
    <row r="38" spans="1:48">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row>
    <row r="39" spans="1:48">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row>
    <row r="40" spans="1:48">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row>
    <row r="41" spans="1:48">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row>
    <row r="42" spans="1:48">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row>
    <row r="43" spans="1:48">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row>
    <row r="44" spans="1:48">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row>
    <row r="45" spans="1:48">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row>
    <row r="46" spans="1:48">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row>
    <row r="47" spans="1:48">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row>
    <row r="48" spans="1:48">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row>
    <row r="49" spans="1:48">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row>
    <row r="50" spans="1:48">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row>
    <row r="51" spans="1:48">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row>
    <row r="52" spans="1:48">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row>
    <row r="53" spans="1:48">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row>
    <row r="54" spans="1:48">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row>
    <row r="55" spans="1:48">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row>
    <row r="56" spans="1:48">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row>
    <row r="57" spans="1:48">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row>
    <row r="58" spans="1:48">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row>
    <row r="59" spans="1:48">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row>
    <row r="60" spans="1:48">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row>
    <row r="61" spans="1:48">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row>
    <row r="62" spans="1:48">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row>
    <row r="63" spans="1:48">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row>
    <row r="64" spans="1:48">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row>
    <row r="65" spans="1:48">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row>
    <row r="66" spans="1:48">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row>
    <row r="67" spans="1:48">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row>
    <row r="68" spans="1:48">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row>
    <row r="69" spans="1:48">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row>
    <row r="70" spans="1:48">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row>
    <row r="71" spans="1:48">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row>
    <row r="72" spans="1:48">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row>
    <row r="73" spans="1:48">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row>
    <row r="74" spans="1:48">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row>
    <row r="75" spans="1:48">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row>
    <row r="76" spans="1:48">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row>
    <row r="77" spans="1:48">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row>
    <row r="78" spans="1:48">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row>
    <row r="79" spans="1:48">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row>
    <row r="80" spans="1:48">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row>
    <row r="81" spans="1:48">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row>
    <row r="82" spans="1:48">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row>
    <row r="83" spans="1:48">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row>
    <row r="84" spans="1:48">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row>
    <row r="85" spans="1:48">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row>
    <row r="86" spans="1:48">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row>
    <row r="87" spans="1:48">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row>
    <row r="88" spans="1:48">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row>
    <row r="89" spans="1:48">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row>
    <row r="90" spans="1:48">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row>
    <row r="91" spans="1:48">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row>
    <row r="92" spans="1:48">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row>
    <row r="93" spans="1:48">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row>
    <row r="94" spans="1:48">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row>
    <row r="95" spans="1:48">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row>
    <row r="96" spans="1:48">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row>
    <row r="97" spans="1:48">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row>
    <row r="98" spans="1:48">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row>
    <row r="99" spans="1:48">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row>
    <row r="100" spans="1:48">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row>
    <row r="101" spans="1:48">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row>
    <row r="102" spans="1:48">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row>
    <row r="103" spans="1:48">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row>
    <row r="104" spans="1:48">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row>
    <row r="105" spans="1:48">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row>
    <row r="106" spans="1:48">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row>
    <row r="107" spans="1:48">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row>
    <row r="108" spans="1:48">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row>
    <row r="109" spans="1:48">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row>
    <row r="110" spans="1:48">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row>
    <row r="111" spans="1:48">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row>
    <row r="112" spans="1:48">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row>
    <row r="113" spans="1:48">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row>
    <row r="114" spans="1:48">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row>
    <row r="115" spans="1:48">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row>
    <row r="116" spans="1:48">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row>
    <row r="117" spans="1:48">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row>
    <row r="118" spans="1:48">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row>
    <row r="119" spans="1:48">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row>
    <row r="120" spans="1:48">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row>
    <row r="121" spans="1:48">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row>
    <row r="122" spans="1:48">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row>
    <row r="123" spans="1:48">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row>
    <row r="124" spans="1:48">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row>
    <row r="125" spans="1:48">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row>
    <row r="126" spans="1:48">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row>
    <row r="127" spans="1:48">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row>
    <row r="128" spans="1:48">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row>
    <row r="129" spans="1:48">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row>
    <row r="130" spans="1:48">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row>
    <row r="131" spans="1:48">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row>
    <row r="132" spans="1:48">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row>
    <row r="133" spans="1:48">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row>
    <row r="134" spans="1:48">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row>
    <row r="135" spans="1:48">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row>
    <row r="136" spans="1:48">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row>
    <row r="137" spans="1:48">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row>
    <row r="138" spans="1:48">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row>
    <row r="139" spans="1:48">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row>
    <row r="140" spans="1:48">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row>
    <row r="141" spans="1:48">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row>
    <row r="142" spans="1:48">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row>
    <row r="143" spans="1:48">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row>
    <row r="144" spans="1:48">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row>
    <row r="145" spans="1:48">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row>
    <row r="146" spans="1:48">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row>
    <row r="147" spans="1:48">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row>
    <row r="148" spans="1:48">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row>
    <row r="149" spans="1:48">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row>
    <row r="150" spans="1:48">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row>
    <row r="151" spans="1:48">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row>
    <row r="152" spans="1:48">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row>
    <row r="153" spans="1:48">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row>
    <row r="154" spans="1:48">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row>
    <row r="155" spans="1:48">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row>
    <row r="156" spans="1:48">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row>
    <row r="157" spans="1:48">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row>
    <row r="158" spans="1:48">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row>
    <row r="159" spans="1:48">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row>
    <row r="160" spans="1:48">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row>
    <row r="161" spans="1:48">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row>
    <row r="162" spans="1:48">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row>
    <row r="163" spans="1:48">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row>
    <row r="164" spans="1:48">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row>
    <row r="165" spans="1:48">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row>
    <row r="166" spans="1:48">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row>
    <row r="167" spans="1:48">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row>
    <row r="168" spans="1:48">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row>
    <row r="169" spans="1:48">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row>
    <row r="170" spans="1:48">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row>
    <row r="171" spans="1:48">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row>
    <row r="172" spans="1:48">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row>
    <row r="173" spans="1:48">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row>
    <row r="174" spans="1:48">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row>
    <row r="175" spans="1:48">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row>
    <row r="176" spans="1:48">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row>
    <row r="177" spans="1:48">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row>
    <row r="178" spans="1:48">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row>
    <row r="179" spans="1:48">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row>
    <row r="180" spans="1:48">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row>
    <row r="181" spans="1:48">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row>
    <row r="182" spans="1:48">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row>
    <row r="183" spans="1:48">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row>
    <row r="184" spans="1:48">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row>
    <row r="185" spans="1:48">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row>
    <row r="186" spans="1:48">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row>
    <row r="187" spans="1:48">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row>
    <row r="188" spans="1:48">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row>
    <row r="189" spans="1:48">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row>
    <row r="190" spans="1:48">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row>
    <row r="191" spans="1:48">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row>
    <row r="192" spans="1:48">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row>
    <row r="193" spans="1:48">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row>
    <row r="194" spans="1:48">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row>
    <row r="195" spans="1:48">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row>
    <row r="196" spans="1:48">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row>
    <row r="197" spans="1:48">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row>
    <row r="198" spans="1:48">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row>
    <row r="199" spans="1:48">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row>
    <row r="200" spans="1:48">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row>
    <row r="201" spans="1:48">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row>
    <row r="202" spans="1:48">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row>
    <row r="203" spans="1:48">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row>
    <row r="204" spans="1:48">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row>
    <row r="205" spans="1:48">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row>
    <row r="206" spans="1:48">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row>
    <row r="207" spans="1:48">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row>
    <row r="208" spans="1:48">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row>
    <row r="209" spans="1:48">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row>
    <row r="210" spans="1:48">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row>
    <row r="211" spans="1:48">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row>
    <row r="212" spans="1:48">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row>
    <row r="213" spans="1:48">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row>
    <row r="214" spans="1:48">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row>
    <row r="215" spans="1:48">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row>
    <row r="216" spans="1:48">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row>
    <row r="217" spans="1:48">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row>
    <row r="218" spans="1:48">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row>
    <row r="219" spans="1:48">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row>
    <row r="220" spans="1:48">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row>
    <row r="221" spans="1:48">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row>
    <row r="222" spans="1:48">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row>
    <row r="223" spans="1:48">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row>
    <row r="224" spans="1:48">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row>
    <row r="225" spans="1:48">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row>
    <row r="226" spans="1:48">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row>
  </sheetData>
  <sheetProtection algorithmName="SHA-512" hashValue="0Mhl2lumBPinO2dsjNXH/rhQjGVLOh3PwTyGNNJwirdtyKHlO1nEFVdttDkZA6pTtatW7dEacnNPmjjrsJsbZg==" saltValue="C6uVi1RzOadp1ErT5L3omg==" spinCount="100000" sheet="1" objects="1" scenarios="1"/>
  <mergeCells count="3">
    <mergeCell ref="A14:C14"/>
    <mergeCell ref="I4:K4"/>
    <mergeCell ref="I18:J18"/>
  </mergeCells>
  <dataValidations disablePrompts="1" count="1">
    <dataValidation type="list" allowBlank="1" showInputMessage="1" showErrorMessage="1" sqref="C4" xr:uid="{60E8362D-BE29-47C4-A105-8FB6DD0732CF}">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8FE29-EA69-4630-A2B4-137D2C608BA8}">
  <sheetPr>
    <tabColor theme="2" tint="0.39997558519241921"/>
  </sheetPr>
  <dimension ref="A1:J16"/>
  <sheetViews>
    <sheetView zoomScale="110" zoomScaleNormal="110" workbookViewId="0">
      <selection activeCell="C3" sqref="C3"/>
    </sheetView>
  </sheetViews>
  <sheetFormatPr defaultRowHeight="14.25"/>
  <cols>
    <col min="1" max="1" width="42.375" bestFit="1" customWidth="1"/>
    <col min="2" max="2" width="26.125" bestFit="1" customWidth="1"/>
    <col min="3" max="3" width="8.25" bestFit="1" customWidth="1"/>
    <col min="4" max="4" width="9.25" customWidth="1"/>
    <col min="5" max="5" width="12.75" bestFit="1" customWidth="1"/>
    <col min="6" max="6" width="18.625" bestFit="1" customWidth="1"/>
    <col min="7" max="7" width="20.125" bestFit="1" customWidth="1"/>
    <col min="8" max="8" width="26.25" customWidth="1"/>
    <col min="9" max="9" width="9" bestFit="1" customWidth="1"/>
    <col min="10" max="10" width="6.375" bestFit="1" customWidth="1"/>
  </cols>
  <sheetData>
    <row r="1" spans="1:10" ht="15.75">
      <c r="A1" s="85" t="s">
        <v>409</v>
      </c>
      <c r="B1" s="124" t="s">
        <v>1</v>
      </c>
      <c r="C1" s="124" t="s">
        <v>349</v>
      </c>
      <c r="D1" s="87"/>
      <c r="E1" s="199" t="s">
        <v>0</v>
      </c>
      <c r="F1" s="200"/>
      <c r="G1" s="200"/>
      <c r="H1" s="200"/>
      <c r="I1" s="200"/>
      <c r="J1" s="201"/>
    </row>
    <row r="2" spans="1:10" ht="15">
      <c r="A2" s="192" t="s">
        <v>376</v>
      </c>
      <c r="B2" s="193"/>
      <c r="C2" s="194"/>
      <c r="D2" s="84"/>
      <c r="E2" s="70" t="s">
        <v>376</v>
      </c>
      <c r="F2" s="82" t="s">
        <v>858</v>
      </c>
      <c r="G2" s="82" t="s">
        <v>856</v>
      </c>
      <c r="H2" s="123" t="s">
        <v>374</v>
      </c>
      <c r="I2" s="123" t="s">
        <v>375</v>
      </c>
      <c r="J2" s="125" t="s">
        <v>862</v>
      </c>
    </row>
    <row r="3" spans="1:10" ht="15">
      <c r="A3" s="91" t="s">
        <v>359</v>
      </c>
      <c r="B3" s="1" t="s">
        <v>859</v>
      </c>
      <c r="C3" s="78">
        <f>((F3*G3)+(F4*G4)+(F5*G5)+(F6*G6)+(F7*G7)+(F8*G8)+(F9*G9)+(F10*G10)+(F11*G11)+(F12*G12))/100</f>
        <v>0.83272999999999997</v>
      </c>
      <c r="D3" s="84"/>
      <c r="E3" s="47" t="s">
        <v>838</v>
      </c>
      <c r="F3" s="80">
        <f>'User Inputs'!G16/100</f>
        <v>0.81099999999999994</v>
      </c>
      <c r="G3" s="80">
        <f>IFERROR(VLOOKUP('User Inputs'!E16, 'Ingredient Key'!$A:$Q, 2, FALSE), 0)</f>
        <v>86</v>
      </c>
      <c r="H3" s="81">
        <f>IFERROR(VLOOKUP('User Inputs'!E16, 'Ingredient Key'!$A:$Q, 5, FALSE), 0)</f>
        <v>17.530960000000004</v>
      </c>
      <c r="I3" s="81">
        <f>IFERROR(VLOOKUP('User Inputs'!E16, 'Ingredient Key'!$A:$Q, 9, FALSE), 0)</f>
        <v>95.44</v>
      </c>
      <c r="J3" s="126">
        <f>IFERROR(VLOOKUP('User Inputs'!E16, 'Ingredient Key'!$A:$Q, 3, FALSE), 0)</f>
        <v>11.2</v>
      </c>
    </row>
    <row r="4" spans="1:10" ht="15">
      <c r="A4" s="91" t="s">
        <v>863</v>
      </c>
      <c r="B4" s="1"/>
      <c r="C4" s="62">
        <f>(1/C3)*100</f>
        <v>120.08694294669343</v>
      </c>
      <c r="D4" s="84"/>
      <c r="E4" s="47" t="s">
        <v>839</v>
      </c>
      <c r="F4" s="3">
        <f>'User Inputs'!G17/100</f>
        <v>7.2999999999999995E-2</v>
      </c>
      <c r="G4" s="3">
        <f>IFERROR(VLOOKUP('User Inputs'!E17, 'Ingredient Key'!$A:$Q, 2, FALSE), 0)</f>
        <v>90</v>
      </c>
      <c r="H4" s="16">
        <f>IFERROR(VLOOKUP('User Inputs'!E17, 'Ingredient Key'!$A:$Q, 5, FALSE), 0)</f>
        <v>10.459999999999999</v>
      </c>
      <c r="I4" s="16">
        <f>IFERROR(VLOOKUP('User Inputs'!E17, 'Ingredient Key'!$A:$Q, 9, FALSE), 0)</f>
        <v>60.406666666666666</v>
      </c>
      <c r="J4" s="127">
        <f>IFERROR(VLOOKUP('User Inputs'!E17, 'Ingredient Key'!$A:$Q, 3, FALSE), 0)</f>
        <v>16.333333333333332</v>
      </c>
    </row>
    <row r="5" spans="1:10" ht="15">
      <c r="A5" s="91" t="s">
        <v>864</v>
      </c>
      <c r="B5" s="1"/>
      <c r="C5" s="62">
        <f>(1-C3)*100</f>
        <v>16.727000000000004</v>
      </c>
      <c r="D5" s="84"/>
      <c r="E5" s="47" t="s">
        <v>840</v>
      </c>
      <c r="F5" s="3">
        <f>'User Inputs'!G18/100</f>
        <v>2.7000000000000003E-2</v>
      </c>
      <c r="G5" s="3">
        <f>IFERROR(VLOOKUP('User Inputs'!E18, 'Ingredient Key'!$A:$Q, 2, FALSE), 0)</f>
        <v>30</v>
      </c>
      <c r="H5" s="16">
        <f>IFERROR(VLOOKUP('User Inputs'!E18, 'Ingredient Key'!$A:$Q, 5, FALSE), 0)</f>
        <v>11.0876</v>
      </c>
      <c r="I5" s="16">
        <f>IFERROR(VLOOKUP('User Inputs'!E18, 'Ingredient Key'!$A:$Q, 9, FALSE), 0)</f>
        <v>65.58</v>
      </c>
      <c r="J5" s="127">
        <f>IFERROR(VLOOKUP('User Inputs'!E18, 'Ingredient Key'!$A:$Q, 3, FALSE), 0)</f>
        <v>7.5</v>
      </c>
    </row>
    <row r="6" spans="1:10" ht="15">
      <c r="A6" s="91" t="s">
        <v>374</v>
      </c>
      <c r="B6" s="1"/>
      <c r="C6" s="78">
        <f>((F3*H3)+(F4*H4)+(F5*H5)+(F6*H6)+(F7*H7)+(F8*H8)+(F9*H9)+(F10*H10)+(F11*H11)+(F12*H12))/100</f>
        <v>0.15835352160000002</v>
      </c>
      <c r="D6" s="84"/>
      <c r="E6" s="47" t="s">
        <v>841</v>
      </c>
      <c r="F6" s="3">
        <f>'User Inputs'!G19/100</f>
        <v>9.0000000000000011E-3</v>
      </c>
      <c r="G6" s="3">
        <f>IFERROR(VLOOKUP('User Inputs'!E19, 'Ingredient Key'!$A:$Q, 2, FALSE), 0)</f>
        <v>0</v>
      </c>
      <c r="H6" s="16">
        <f>IFERROR(VLOOKUP('User Inputs'!E19, 'Ingredient Key'!$A:$Q, 5, FALSE), 0)</f>
        <v>0</v>
      </c>
      <c r="I6" s="16">
        <f>IFERROR(VLOOKUP('User Inputs'!E19, 'Ingredient Key'!$A:$Q, 9, FALSE), 0)</f>
        <v>0</v>
      </c>
      <c r="J6" s="127">
        <f>IFERROR(VLOOKUP('User Inputs'!E19, 'Ingredient Key'!$A:$Q, 3, FALSE), 0)</f>
        <v>0</v>
      </c>
    </row>
    <row r="7" spans="1:10" ht="15">
      <c r="A7" s="91" t="s">
        <v>375</v>
      </c>
      <c r="B7" s="1"/>
      <c r="C7" s="62">
        <f>((F3*I3)+(F4*I4)+(F5*I5)+(F6*I6)+(F7*I7)+(F8*I8)+(F9*I9)+(F10*I10)+(F11*I11)+(F12*I12))</f>
        <v>84.947116666666673</v>
      </c>
      <c r="D7" s="84"/>
      <c r="E7" s="47" t="s">
        <v>842</v>
      </c>
      <c r="F7" s="3">
        <f>'User Inputs'!G20/100</f>
        <v>1.7000000000000001E-2</v>
      </c>
      <c r="G7" s="3">
        <f>IFERROR(VLOOKUP('User Inputs'!E20, 'Ingredient Key'!$A:$Q, 2, FALSE), 0)</f>
        <v>99</v>
      </c>
      <c r="H7" s="16">
        <f>IFERROR(VLOOKUP('User Inputs'!E20, 'Ingredient Key'!$A:$Q, 5, FALSE), 0)</f>
        <v>32.635199999999998</v>
      </c>
      <c r="I7" s="16">
        <f>IFERROR(VLOOKUP('User Inputs'!E20, 'Ingredient Key'!$A:$Q, 9, FALSE), 0)</f>
        <v>80.290000000000006</v>
      </c>
      <c r="J7" s="127">
        <f>IFERROR(VLOOKUP('User Inputs'!E20, 'Ingredient Key'!$A:$Q, 3, FALSE), 0)</f>
        <v>0</v>
      </c>
    </row>
    <row r="8" spans="1:10" ht="15">
      <c r="A8" s="91" t="s">
        <v>860</v>
      </c>
      <c r="B8" s="1" t="s">
        <v>861</v>
      </c>
      <c r="C8" s="64">
        <f>C3*'User Inputs'!E12</f>
        <v>207590.42896999998</v>
      </c>
      <c r="D8" s="84"/>
      <c r="E8" s="47" t="s">
        <v>843</v>
      </c>
      <c r="F8" s="3">
        <f>'User Inputs'!G21/100</f>
        <v>0.01</v>
      </c>
      <c r="G8" s="3">
        <f>IFERROR(VLOOKUP('User Inputs'!E21, 'Ingredient Key'!$A:$Q, 2, FALSE), 0)</f>
        <v>72</v>
      </c>
      <c r="H8" s="16">
        <f>IFERROR(VLOOKUP('User Inputs'!E21, 'Ingredient Key'!$A:$Q, 5, FALSE), 0)</f>
        <v>0</v>
      </c>
      <c r="I8" s="16">
        <f>IFERROR(VLOOKUP('User Inputs'!E21, 'Ingredient Key'!$A:$Q, 9, FALSE), 0)</f>
        <v>0</v>
      </c>
      <c r="J8" s="127">
        <f>IFERROR(VLOOKUP('User Inputs'!E21, 'Ingredient Key'!$A:$Q, 3, FALSE), 0)</f>
        <v>56</v>
      </c>
    </row>
    <row r="9" spans="1:10" ht="15">
      <c r="A9" s="91" t="s">
        <v>862</v>
      </c>
      <c r="B9" s="1" t="s">
        <v>360</v>
      </c>
      <c r="C9" s="62">
        <f>((F3*J3)+(F4*J4)+(F5*J5)+(F6*J6)+(F7*J7)+(F8*J8)+(F9*J9)+(F10*J10)+(F11*J11)+(F12*J12))</f>
        <v>13.950033333333334</v>
      </c>
      <c r="D9" s="84"/>
      <c r="E9" s="47" t="s">
        <v>844</v>
      </c>
      <c r="F9" s="3">
        <f>'User Inputs'!G22/100</f>
        <v>5.2000000000000005E-2</v>
      </c>
      <c r="G9" s="3">
        <f>IFERROR(VLOOKUP('User Inputs'!E22, 'Ingredient Key'!$A:$Q, 2, FALSE), 0)</f>
        <v>72</v>
      </c>
      <c r="H9" s="16">
        <f>IFERROR(VLOOKUP('User Inputs'!E22, 'Ingredient Key'!$A:$Q, 5, FALSE), 0)</f>
        <v>0</v>
      </c>
      <c r="I9" s="16">
        <f>IFERROR(VLOOKUP('User Inputs'!E22, 'Ingredient Key'!$A:$Q, 9, FALSE), 0)</f>
        <v>0</v>
      </c>
      <c r="J9" s="127">
        <f>IFERROR(VLOOKUP('User Inputs'!E22, 'Ingredient Key'!$A:$Q, 3, FALSE), 0)</f>
        <v>56</v>
      </c>
    </row>
    <row r="10" spans="1:10" ht="15">
      <c r="A10" s="91" t="s">
        <v>358</v>
      </c>
      <c r="B10" s="1" t="s">
        <v>386</v>
      </c>
      <c r="C10" s="64">
        <f>'User Inputs'!B20</f>
        <v>232</v>
      </c>
      <c r="D10" s="84"/>
      <c r="E10" s="47" t="s">
        <v>845</v>
      </c>
      <c r="F10" s="3">
        <f>'User Inputs'!G23/100</f>
        <v>0</v>
      </c>
      <c r="G10" s="3">
        <f>IFERROR(VLOOKUP('User Inputs'!E23, 'Ingredient Key'!$A:$Q, 2, FALSE), 0)</f>
        <v>0</v>
      </c>
      <c r="H10" s="16">
        <f>IFERROR(VLOOKUP('User Inputs'!E23, 'Ingredient Key'!$A:$Q, 5, FALSE), 0)</f>
        <v>0</v>
      </c>
      <c r="I10" s="16">
        <f>IFERROR(VLOOKUP('User Inputs'!E23, 'Ingredient Key'!$A:$Q, 9, FALSE), 0)</f>
        <v>0</v>
      </c>
      <c r="J10" s="127">
        <f>IFERROR(VLOOKUP('User Inputs'!E23, 'Ingredient Key'!$A:$Q, 3, FALSE), 0)</f>
        <v>0</v>
      </c>
    </row>
    <row r="11" spans="1:10">
      <c r="A11" s="192" t="s">
        <v>361</v>
      </c>
      <c r="B11" s="193"/>
      <c r="C11" s="194"/>
      <c r="D11" s="84"/>
      <c r="E11" s="47" t="s">
        <v>846</v>
      </c>
      <c r="F11" s="3">
        <f>'User Inputs'!G24/100</f>
        <v>0</v>
      </c>
      <c r="G11" s="3">
        <f>IFERROR(VLOOKUP('User Inputs'!E24, 'Ingredient Key'!$A:$Q, 2, FALSE), 0)</f>
        <v>0</v>
      </c>
      <c r="H11" s="16">
        <f>IFERROR(VLOOKUP('User Inputs'!E24, 'Ingredient Key'!$A:$Q, 5, FALSE), 0)</f>
        <v>0</v>
      </c>
      <c r="I11" s="16">
        <f>IFERROR(VLOOKUP('User Inputs'!E24, 'Ingredient Key'!$A:$Q, 9, FALSE), 0)</f>
        <v>0</v>
      </c>
      <c r="J11" s="127">
        <f>IFERROR(VLOOKUP('User Inputs'!E24, 'Ingredient Key'!$A:$Q, 3, FALSE), 0)</f>
        <v>0</v>
      </c>
    </row>
    <row r="12" spans="1:10" ht="15">
      <c r="A12" s="79" t="s">
        <v>362</v>
      </c>
      <c r="B12" s="1"/>
      <c r="C12" s="64">
        <f>'User Inputs'!B8-'User Inputs'!B7</f>
        <v>38413</v>
      </c>
      <c r="D12" s="84"/>
      <c r="E12" s="47" t="s">
        <v>847</v>
      </c>
      <c r="F12" s="3">
        <f>'User Inputs'!G25/100</f>
        <v>0</v>
      </c>
      <c r="G12" s="3">
        <f>IFERROR(VLOOKUP('User Inputs'!E25, 'Ingredient Key'!$A:$Q, 2, FALSE), 0)</f>
        <v>0</v>
      </c>
      <c r="H12" s="16">
        <f>IFERROR(VLOOKUP('User Inputs'!E25, 'Ingredient Key'!$A:$Q, 5, FALSE), 0)</f>
        <v>0</v>
      </c>
      <c r="I12" s="16">
        <f>IFERROR(VLOOKUP('User Inputs'!E25, 'Ingredient Key'!$A:$Q, 9, FALSE), 0)</f>
        <v>0</v>
      </c>
      <c r="J12" s="127">
        <f>IFERROR(VLOOKUP('User Inputs'!E25, 'Ingredient Key'!$A:$Q, 3, FALSE), 0)</f>
        <v>0</v>
      </c>
    </row>
    <row r="13" spans="1:10" ht="15">
      <c r="A13" s="79" t="s">
        <v>386</v>
      </c>
      <c r="B13" s="1" t="s">
        <v>865</v>
      </c>
      <c r="C13" s="64">
        <f>C10</f>
        <v>232</v>
      </c>
      <c r="D13" s="84"/>
      <c r="E13" s="84"/>
      <c r="F13" s="84"/>
      <c r="G13" s="84"/>
      <c r="H13" s="84"/>
      <c r="I13" s="84"/>
      <c r="J13" s="89"/>
    </row>
    <row r="14" spans="1:10" ht="15">
      <c r="A14" s="110"/>
      <c r="B14" s="84"/>
      <c r="C14" s="168"/>
      <c r="D14" s="84"/>
      <c r="E14" s="84"/>
      <c r="F14" s="84"/>
      <c r="G14" s="84"/>
      <c r="H14" s="84"/>
      <c r="I14" s="84"/>
      <c r="J14" s="89"/>
    </row>
    <row r="15" spans="1:10" ht="15">
      <c r="A15" s="110"/>
      <c r="B15" s="84"/>
      <c r="C15" s="168"/>
      <c r="D15" s="84"/>
      <c r="E15" s="84"/>
      <c r="F15" s="84"/>
      <c r="G15" s="84"/>
      <c r="H15" s="84"/>
      <c r="I15" s="84"/>
      <c r="J15" s="89"/>
    </row>
    <row r="16" spans="1:10" ht="15" thickBot="1">
      <c r="A16" s="130"/>
      <c r="B16" s="97"/>
      <c r="C16" s="97"/>
      <c r="D16" s="97"/>
      <c r="E16" s="97"/>
      <c r="F16" s="97"/>
      <c r="G16" s="97"/>
      <c r="H16" s="97"/>
      <c r="I16" s="97"/>
      <c r="J16" s="98"/>
    </row>
  </sheetData>
  <sheetProtection algorithmName="SHA-512" hashValue="jyUuV2X4gZfqLUCnTk+pjMLMnGdZtNYND8QY5lxe9vv7xSoC9fll5okgl8b1bMhYONifcmsIsu32geEIF5dIIA==" saltValue="/aHhzcAG/KHdPSwjRIFffA==" spinCount="100000" sheet="1" objects="1" scenarios="1"/>
  <mergeCells count="3">
    <mergeCell ref="A2:C2"/>
    <mergeCell ref="A11:C11"/>
    <mergeCell ref="E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66BB3-6B26-4427-B576-BFBE1E299B5E}">
  <sheetPr>
    <tabColor theme="2" tint="0.39997558519241921"/>
  </sheetPr>
  <dimension ref="A1:S414"/>
  <sheetViews>
    <sheetView zoomScale="110" zoomScaleNormal="110" workbookViewId="0">
      <pane ySplit="1" topLeftCell="A2" activePane="bottomLeft" state="frozen"/>
      <selection pane="bottomLeft" activeCell="F25" sqref="F25"/>
    </sheetView>
  </sheetViews>
  <sheetFormatPr defaultRowHeight="14.25"/>
  <cols>
    <col min="1" max="1" width="38.375" customWidth="1"/>
    <col min="2" max="2" width="7.875" customWidth="1"/>
    <col min="3" max="3" width="7.75" customWidth="1"/>
    <col min="4" max="4" width="12.25" bestFit="1" customWidth="1"/>
    <col min="5" max="5" width="12.25" customWidth="1"/>
    <col min="6" max="6" width="12.25" bestFit="1" customWidth="1"/>
    <col min="7" max="7" width="6.375" bestFit="1" customWidth="1"/>
    <col min="8" max="8" width="7.75" bestFit="1" customWidth="1"/>
    <col min="9" max="10" width="20.25" customWidth="1"/>
    <col min="11" max="11" width="16.875" bestFit="1" customWidth="1"/>
    <col min="12" max="13" width="26.125" customWidth="1"/>
    <col min="14" max="14" width="15" bestFit="1" customWidth="1"/>
    <col min="15" max="15" width="8.125" bestFit="1" customWidth="1"/>
    <col min="16" max="16" width="7.875" bestFit="1" customWidth="1"/>
    <col min="17" max="17" width="9.75" bestFit="1" customWidth="1"/>
    <col min="18" max="18" width="11.625" bestFit="1" customWidth="1"/>
    <col min="19" max="20" width="12.25" bestFit="1" customWidth="1"/>
  </cols>
  <sheetData>
    <row r="1" spans="1:19" ht="30.75" customHeight="1">
      <c r="A1" s="32" t="s">
        <v>249</v>
      </c>
      <c r="B1" s="33" t="s">
        <v>250</v>
      </c>
      <c r="C1" s="33" t="s">
        <v>251</v>
      </c>
      <c r="D1" s="33" t="s">
        <v>252</v>
      </c>
      <c r="E1" s="33" t="s">
        <v>373</v>
      </c>
      <c r="F1" s="33" t="s">
        <v>253</v>
      </c>
      <c r="G1" s="33" t="s">
        <v>254</v>
      </c>
      <c r="H1" s="33" t="s">
        <v>255</v>
      </c>
      <c r="I1" s="33" t="s">
        <v>262</v>
      </c>
      <c r="J1" s="33" t="s">
        <v>263</v>
      </c>
      <c r="K1" s="33" t="s">
        <v>256</v>
      </c>
      <c r="L1" s="33" t="s">
        <v>264</v>
      </c>
      <c r="M1" s="33" t="s">
        <v>265</v>
      </c>
      <c r="N1" s="33" t="s">
        <v>257</v>
      </c>
      <c r="O1" s="33" t="s">
        <v>258</v>
      </c>
      <c r="P1" s="33" t="s">
        <v>259</v>
      </c>
      <c r="Q1" s="33" t="s">
        <v>260</v>
      </c>
      <c r="R1" s="11"/>
      <c r="S1" s="11"/>
    </row>
    <row r="2" spans="1:19" ht="15">
      <c r="A2" s="202" t="s">
        <v>261</v>
      </c>
      <c r="B2" s="202"/>
      <c r="C2" s="202"/>
      <c r="D2" s="202"/>
      <c r="E2" s="202"/>
      <c r="F2" s="202"/>
      <c r="G2" s="202"/>
      <c r="H2" s="202"/>
      <c r="I2" s="202"/>
      <c r="J2" s="202"/>
      <c r="K2" s="202"/>
      <c r="L2" s="202"/>
      <c r="M2" s="202"/>
      <c r="N2" s="202"/>
      <c r="O2" s="202"/>
      <c r="P2" s="202"/>
      <c r="Q2" s="202"/>
    </row>
    <row r="3" spans="1:19">
      <c r="A3" t="s">
        <v>509</v>
      </c>
      <c r="B3">
        <v>21</v>
      </c>
      <c r="C3">
        <v>20</v>
      </c>
      <c r="D3">
        <v>2.78</v>
      </c>
      <c r="E3" s="24">
        <f>D3*4.184</f>
        <v>11.63152</v>
      </c>
      <c r="F3">
        <v>3.7629999999999999</v>
      </c>
      <c r="G3">
        <v>2.7</v>
      </c>
      <c r="H3">
        <v>9.8000000000000007</v>
      </c>
      <c r="I3">
        <v>66.78</v>
      </c>
      <c r="J3">
        <v>63</v>
      </c>
      <c r="K3">
        <v>67.5</v>
      </c>
      <c r="L3">
        <v>4.1849999999999996</v>
      </c>
      <c r="O3">
        <v>38.9</v>
      </c>
      <c r="P3">
        <v>29</v>
      </c>
      <c r="Q3">
        <v>7</v>
      </c>
    </row>
    <row r="4" spans="1:19">
      <c r="A4" t="s">
        <v>510</v>
      </c>
      <c r="B4">
        <v>23</v>
      </c>
      <c r="C4">
        <v>19</v>
      </c>
      <c r="D4">
        <v>2.65</v>
      </c>
      <c r="E4" s="24">
        <f t="shared" ref="E4:E68" si="0">D4*4.184</f>
        <v>11.0876</v>
      </c>
      <c r="F4">
        <v>3.7629999999999999</v>
      </c>
      <c r="G4">
        <v>3.1</v>
      </c>
      <c r="H4">
        <v>9.5</v>
      </c>
      <c r="I4">
        <v>63.34</v>
      </c>
      <c r="J4">
        <v>60</v>
      </c>
      <c r="K4">
        <v>68.400000000000006</v>
      </c>
      <c r="L4">
        <v>4.2039999999999997</v>
      </c>
      <c r="O4">
        <v>40.1</v>
      </c>
      <c r="P4">
        <v>36</v>
      </c>
      <c r="Q4">
        <v>7</v>
      </c>
    </row>
    <row r="5" spans="1:19">
      <c r="A5" t="s">
        <v>511</v>
      </c>
      <c r="B5">
        <v>24</v>
      </c>
      <c r="C5">
        <v>18.3</v>
      </c>
      <c r="D5">
        <v>2.56</v>
      </c>
      <c r="E5" s="24">
        <f t="shared" si="0"/>
        <v>10.711040000000001</v>
      </c>
      <c r="F5">
        <v>3.7629999999999999</v>
      </c>
      <c r="G5">
        <v>2.6</v>
      </c>
      <c r="H5">
        <v>8.6999999999999993</v>
      </c>
      <c r="I5">
        <v>61.24</v>
      </c>
      <c r="J5">
        <v>58</v>
      </c>
      <c r="K5">
        <v>70.400000000000006</v>
      </c>
      <c r="L5">
        <v>4.2</v>
      </c>
      <c r="O5">
        <v>46</v>
      </c>
      <c r="P5">
        <v>35</v>
      </c>
      <c r="Q5">
        <v>9</v>
      </c>
    </row>
    <row r="6" spans="1:19">
      <c r="A6" t="s">
        <v>512</v>
      </c>
      <c r="B6">
        <v>25</v>
      </c>
      <c r="C6">
        <v>14</v>
      </c>
      <c r="D6">
        <v>2.4300000000000002</v>
      </c>
      <c r="E6" s="24">
        <f t="shared" si="0"/>
        <v>10.167120000000001</v>
      </c>
      <c r="F6">
        <v>3.7629999999999999</v>
      </c>
      <c r="G6">
        <v>2.8</v>
      </c>
      <c r="H6">
        <v>8.5</v>
      </c>
      <c r="I6">
        <v>58.76</v>
      </c>
      <c r="J6">
        <v>55</v>
      </c>
      <c r="K6">
        <v>74.7</v>
      </c>
      <c r="L6">
        <v>4.1539999999999999</v>
      </c>
      <c r="O6">
        <v>52</v>
      </c>
      <c r="P6">
        <v>37</v>
      </c>
      <c r="Q6">
        <v>10</v>
      </c>
    </row>
    <row r="7" spans="1:19">
      <c r="A7" t="s">
        <v>513</v>
      </c>
      <c r="B7">
        <v>90</v>
      </c>
      <c r="C7">
        <v>18</v>
      </c>
      <c r="D7">
        <v>2.65</v>
      </c>
      <c r="E7" s="24">
        <f t="shared" si="0"/>
        <v>11.0876</v>
      </c>
      <c r="F7">
        <v>3.7629999999999999</v>
      </c>
      <c r="G7">
        <v>3</v>
      </c>
      <c r="H7">
        <v>9.6</v>
      </c>
      <c r="I7">
        <v>63.72</v>
      </c>
      <c r="J7">
        <v>60</v>
      </c>
      <c r="K7">
        <v>69.400000000000006</v>
      </c>
      <c r="L7">
        <v>4.1790000000000003</v>
      </c>
      <c r="O7">
        <v>42</v>
      </c>
      <c r="P7">
        <v>31</v>
      </c>
      <c r="Q7">
        <v>8</v>
      </c>
    </row>
    <row r="8" spans="1:19">
      <c r="A8" t="s">
        <v>514</v>
      </c>
      <c r="B8">
        <v>90</v>
      </c>
      <c r="C8">
        <v>17</v>
      </c>
      <c r="D8">
        <v>2.56</v>
      </c>
      <c r="E8" s="24">
        <f t="shared" si="0"/>
        <v>10.711040000000001</v>
      </c>
      <c r="F8">
        <v>3.7629999999999999</v>
      </c>
      <c r="G8">
        <v>2.6</v>
      </c>
      <c r="H8">
        <v>9.1</v>
      </c>
      <c r="I8">
        <v>61.79</v>
      </c>
      <c r="J8">
        <v>58</v>
      </c>
      <c r="K8">
        <v>71.3</v>
      </c>
      <c r="L8">
        <v>4.1639999999999997</v>
      </c>
      <c r="O8">
        <v>46</v>
      </c>
      <c r="P8">
        <v>35</v>
      </c>
      <c r="Q8">
        <v>9</v>
      </c>
    </row>
    <row r="9" spans="1:19">
      <c r="A9" t="s">
        <v>515</v>
      </c>
      <c r="B9">
        <v>90</v>
      </c>
      <c r="C9">
        <v>14</v>
      </c>
      <c r="D9">
        <v>2.29</v>
      </c>
      <c r="E9" s="24">
        <f t="shared" si="0"/>
        <v>9.5813600000000001</v>
      </c>
      <c r="F9">
        <v>3.7629999999999999</v>
      </c>
      <c r="G9">
        <v>1.8</v>
      </c>
      <c r="H9">
        <v>7.8</v>
      </c>
      <c r="I9">
        <v>55.71</v>
      </c>
      <c r="J9">
        <v>52</v>
      </c>
      <c r="K9">
        <v>76.400000000000006</v>
      </c>
      <c r="L9">
        <v>4.1310000000000002</v>
      </c>
      <c r="O9">
        <v>52</v>
      </c>
      <c r="P9">
        <v>39</v>
      </c>
      <c r="Q9">
        <v>12</v>
      </c>
    </row>
    <row r="10" spans="1:19">
      <c r="A10" t="s">
        <v>516</v>
      </c>
      <c r="B10">
        <v>91</v>
      </c>
      <c r="C10">
        <v>12.9</v>
      </c>
      <c r="D10">
        <v>2.21</v>
      </c>
      <c r="E10" s="24">
        <f t="shared" si="0"/>
        <v>9.2466400000000011</v>
      </c>
      <c r="F10">
        <v>3.7629999999999999</v>
      </c>
      <c r="G10">
        <v>1.3</v>
      </c>
      <c r="H10">
        <v>7.5</v>
      </c>
      <c r="I10">
        <v>54.18</v>
      </c>
      <c r="J10">
        <v>50</v>
      </c>
      <c r="K10">
        <v>78.3</v>
      </c>
      <c r="L10">
        <v>4.101</v>
      </c>
      <c r="O10">
        <v>58.8</v>
      </c>
      <c r="P10">
        <v>44</v>
      </c>
      <c r="Q10">
        <v>14</v>
      </c>
    </row>
    <row r="11" spans="1:19">
      <c r="A11" t="s">
        <v>853</v>
      </c>
      <c r="B11">
        <f>AVERAGE(B7:B9)</f>
        <v>90</v>
      </c>
      <c r="C11">
        <f t="shared" ref="C11:Q11" si="1">AVERAGE(C7:C9)</f>
        <v>16.333333333333332</v>
      </c>
      <c r="D11">
        <f t="shared" si="1"/>
        <v>2.5</v>
      </c>
      <c r="E11">
        <f t="shared" si="1"/>
        <v>10.459999999999999</v>
      </c>
      <c r="F11">
        <f t="shared" si="1"/>
        <v>3.7629999999999999</v>
      </c>
      <c r="G11">
        <f t="shared" si="1"/>
        <v>2.4666666666666663</v>
      </c>
      <c r="H11">
        <f t="shared" si="1"/>
        <v>8.8333333333333339</v>
      </c>
      <c r="I11">
        <f t="shared" si="1"/>
        <v>60.406666666666666</v>
      </c>
      <c r="J11">
        <f t="shared" si="1"/>
        <v>56.666666666666664</v>
      </c>
      <c r="K11">
        <f t="shared" si="1"/>
        <v>72.36666666666666</v>
      </c>
      <c r="L11">
        <f t="shared" si="1"/>
        <v>4.1580000000000004</v>
      </c>
      <c r="O11">
        <f t="shared" si="1"/>
        <v>46.666666666666664</v>
      </c>
      <c r="P11">
        <f t="shared" si="1"/>
        <v>35</v>
      </c>
      <c r="Q11">
        <f t="shared" si="1"/>
        <v>9.6666666666666661</v>
      </c>
    </row>
    <row r="12" spans="1:19">
      <c r="A12" t="s">
        <v>517</v>
      </c>
      <c r="B12">
        <v>93.83</v>
      </c>
      <c r="C12">
        <v>18.489999999999998</v>
      </c>
      <c r="D12">
        <v>2.69</v>
      </c>
      <c r="E12" s="24">
        <f t="shared" si="0"/>
        <v>11.254960000000001</v>
      </c>
      <c r="F12">
        <v>3.7639999999999998</v>
      </c>
      <c r="G12">
        <v>3.99</v>
      </c>
      <c r="H12">
        <v>10.29</v>
      </c>
      <c r="I12">
        <v>64.180000000000007</v>
      </c>
      <c r="J12">
        <v>61</v>
      </c>
      <c r="K12">
        <v>67.23</v>
      </c>
      <c r="L12">
        <v>4.21</v>
      </c>
      <c r="M12">
        <v>5.67</v>
      </c>
      <c r="N12">
        <v>2.08</v>
      </c>
      <c r="O12">
        <v>46.6</v>
      </c>
      <c r="P12">
        <v>35.4</v>
      </c>
      <c r="Q12">
        <v>7.44</v>
      </c>
    </row>
    <row r="13" spans="1:19">
      <c r="A13" t="s">
        <v>518</v>
      </c>
      <c r="B13">
        <v>35</v>
      </c>
      <c r="C13">
        <v>17</v>
      </c>
      <c r="D13">
        <v>2.65</v>
      </c>
      <c r="E13" s="24">
        <f t="shared" si="0"/>
        <v>11.0876</v>
      </c>
      <c r="G13">
        <v>3.2</v>
      </c>
      <c r="H13">
        <v>8.1999999999999993</v>
      </c>
      <c r="I13">
        <v>62.85</v>
      </c>
      <c r="J13">
        <v>60</v>
      </c>
      <c r="K13">
        <v>71.599999999999994</v>
      </c>
      <c r="L13">
        <v>4.2329999999999997</v>
      </c>
      <c r="O13">
        <v>43</v>
      </c>
      <c r="P13">
        <v>33</v>
      </c>
      <c r="Q13">
        <v>10</v>
      </c>
    </row>
    <row r="14" spans="1:19">
      <c r="A14" t="s">
        <v>519</v>
      </c>
      <c r="B14">
        <v>38</v>
      </c>
      <c r="C14">
        <v>15.5</v>
      </c>
      <c r="D14">
        <v>2.56</v>
      </c>
      <c r="E14" s="24">
        <f t="shared" si="0"/>
        <v>10.711040000000001</v>
      </c>
      <c r="G14">
        <v>3.1</v>
      </c>
      <c r="H14">
        <v>7.9</v>
      </c>
      <c r="I14">
        <v>60.93</v>
      </c>
      <c r="J14">
        <v>58</v>
      </c>
      <c r="K14">
        <v>73.5</v>
      </c>
      <c r="L14">
        <v>4.2169999999999996</v>
      </c>
      <c r="O14">
        <v>47</v>
      </c>
      <c r="P14">
        <v>35</v>
      </c>
      <c r="Q14">
        <v>11</v>
      </c>
    </row>
    <row r="15" spans="1:19">
      <c r="A15" t="s">
        <v>520</v>
      </c>
      <c r="B15">
        <v>45</v>
      </c>
      <c r="C15">
        <v>14</v>
      </c>
      <c r="D15">
        <v>2.4300000000000002</v>
      </c>
      <c r="E15" s="24">
        <f t="shared" si="0"/>
        <v>10.167120000000001</v>
      </c>
      <c r="G15">
        <v>2.7</v>
      </c>
      <c r="H15">
        <v>7.7</v>
      </c>
      <c r="I15">
        <v>58.34</v>
      </c>
      <c r="J15">
        <v>55</v>
      </c>
      <c r="K15">
        <v>75.599999999999994</v>
      </c>
      <c r="L15">
        <v>4.1820000000000004</v>
      </c>
      <c r="O15">
        <v>51</v>
      </c>
      <c r="P15">
        <v>38</v>
      </c>
      <c r="Q15">
        <v>12</v>
      </c>
    </row>
    <row r="16" spans="1:19">
      <c r="A16" t="s">
        <v>521</v>
      </c>
      <c r="B16">
        <v>91.04</v>
      </c>
      <c r="C16">
        <v>18.100000000000001</v>
      </c>
      <c r="D16">
        <v>2.4700000000000002</v>
      </c>
      <c r="E16" s="24">
        <f t="shared" si="0"/>
        <v>10.334480000000001</v>
      </c>
      <c r="G16">
        <v>2.13</v>
      </c>
      <c r="H16">
        <v>11.98</v>
      </c>
      <c r="I16">
        <v>61.65</v>
      </c>
      <c r="J16">
        <v>56</v>
      </c>
      <c r="K16">
        <v>67.790000000000006</v>
      </c>
      <c r="L16">
        <v>4.0359999999999996</v>
      </c>
      <c r="N16">
        <v>1.35</v>
      </c>
      <c r="O16">
        <v>45.46</v>
      </c>
      <c r="P16">
        <v>35.409999999999997</v>
      </c>
      <c r="Q16">
        <v>7.57</v>
      </c>
    </row>
    <row r="17" spans="1:17" ht="15">
      <c r="A17" s="202" t="s">
        <v>266</v>
      </c>
      <c r="B17" s="202"/>
      <c r="C17" s="202"/>
      <c r="D17" s="202"/>
      <c r="E17" s="202"/>
      <c r="F17" s="202"/>
      <c r="G17" s="202"/>
      <c r="H17" s="202"/>
      <c r="I17" s="202"/>
      <c r="J17" s="202"/>
      <c r="K17" s="202"/>
      <c r="L17" s="202"/>
      <c r="M17" s="202"/>
      <c r="N17" s="202"/>
      <c r="O17" s="202"/>
      <c r="P17" s="202"/>
      <c r="Q17" s="202"/>
    </row>
    <row r="18" spans="1:17">
      <c r="A18" t="s">
        <v>522</v>
      </c>
      <c r="B18">
        <v>89.21</v>
      </c>
      <c r="C18">
        <v>5.47</v>
      </c>
      <c r="D18">
        <v>2.61</v>
      </c>
      <c r="E18" s="24">
        <f t="shared" si="0"/>
        <v>10.92024</v>
      </c>
      <c r="G18">
        <v>2.8</v>
      </c>
      <c r="H18">
        <v>8.2899999999999991</v>
      </c>
      <c r="I18">
        <v>64.97</v>
      </c>
      <c r="J18">
        <v>55</v>
      </c>
      <c r="K18">
        <v>83.44</v>
      </c>
      <c r="L18">
        <v>4.0350000000000001</v>
      </c>
      <c r="M18">
        <v>15.05</v>
      </c>
      <c r="N18">
        <v>2.5</v>
      </c>
      <c r="O18">
        <v>38.96</v>
      </c>
      <c r="P18">
        <v>32.729999999999997</v>
      </c>
      <c r="Q18">
        <v>11.06</v>
      </c>
    </row>
    <row r="19" spans="1:17" ht="15">
      <c r="A19" s="202" t="s">
        <v>267</v>
      </c>
      <c r="B19" s="202"/>
      <c r="C19" s="202"/>
      <c r="D19" s="202"/>
      <c r="E19" s="202"/>
      <c r="F19" s="202"/>
      <c r="G19" s="202"/>
      <c r="H19" s="202"/>
      <c r="I19" s="202"/>
      <c r="J19" s="202"/>
      <c r="K19" s="202"/>
      <c r="L19" s="202"/>
      <c r="M19" s="202"/>
      <c r="N19" s="202"/>
      <c r="O19" s="202"/>
      <c r="P19" s="202"/>
      <c r="Q19" s="202"/>
    </row>
    <row r="20" spans="1:17">
      <c r="A20" t="s">
        <v>523</v>
      </c>
      <c r="B20">
        <v>89</v>
      </c>
      <c r="C20">
        <v>5.0999999999999996</v>
      </c>
      <c r="D20">
        <v>2.4700000000000002</v>
      </c>
      <c r="E20" s="24">
        <f t="shared" si="0"/>
        <v>10.334480000000001</v>
      </c>
      <c r="G20">
        <v>5.2</v>
      </c>
      <c r="H20">
        <v>3.5</v>
      </c>
      <c r="I20">
        <v>56.69</v>
      </c>
      <c r="J20">
        <v>56</v>
      </c>
      <c r="K20">
        <v>86.2</v>
      </c>
      <c r="L20">
        <v>4.3540000000000001</v>
      </c>
      <c r="N20">
        <v>3.98</v>
      </c>
      <c r="O20">
        <v>45.56</v>
      </c>
      <c r="P20">
        <v>38.72</v>
      </c>
      <c r="Q20">
        <v>14.85</v>
      </c>
    </row>
    <row r="21" spans="1:17" ht="15">
      <c r="A21" s="202" t="s">
        <v>268</v>
      </c>
      <c r="B21" s="202"/>
      <c r="C21" s="202"/>
      <c r="D21" s="202"/>
      <c r="E21" s="202"/>
      <c r="F21" s="202"/>
      <c r="G21" s="202"/>
      <c r="H21" s="202"/>
      <c r="I21" s="202"/>
      <c r="J21" s="202"/>
      <c r="K21" s="202"/>
      <c r="L21" s="202"/>
      <c r="M21" s="202"/>
      <c r="N21" s="202"/>
      <c r="O21" s="202"/>
      <c r="P21" s="202"/>
      <c r="Q21" s="202"/>
    </row>
    <row r="22" spans="1:17">
      <c r="A22" t="s">
        <v>524</v>
      </c>
      <c r="B22">
        <v>30</v>
      </c>
      <c r="C22">
        <v>8.9</v>
      </c>
      <c r="D22">
        <v>2.38</v>
      </c>
      <c r="E22" s="24">
        <f t="shared" si="0"/>
        <v>9.9579199999999997</v>
      </c>
      <c r="G22">
        <v>1.6</v>
      </c>
      <c r="H22">
        <v>11.1</v>
      </c>
      <c r="I22">
        <v>61.38</v>
      </c>
      <c r="J22">
        <v>54</v>
      </c>
      <c r="K22">
        <v>78.400000000000006</v>
      </c>
      <c r="L22">
        <v>3.907</v>
      </c>
      <c r="O22">
        <v>68</v>
      </c>
      <c r="P22">
        <v>38</v>
      </c>
      <c r="Q22">
        <v>7</v>
      </c>
    </row>
    <row r="23" spans="1:17">
      <c r="A23" t="s">
        <v>525</v>
      </c>
      <c r="B23">
        <v>91</v>
      </c>
      <c r="C23">
        <v>8.1999999999999993</v>
      </c>
      <c r="D23">
        <v>2.25</v>
      </c>
      <c r="E23" s="24">
        <f t="shared" si="0"/>
        <v>9.4139999999999997</v>
      </c>
      <c r="G23">
        <v>2.1</v>
      </c>
      <c r="H23">
        <v>6.4</v>
      </c>
      <c r="I23">
        <v>54.85</v>
      </c>
      <c r="J23">
        <v>51</v>
      </c>
      <c r="K23">
        <v>83.3</v>
      </c>
      <c r="L23">
        <v>4.1180000000000003</v>
      </c>
      <c r="O23">
        <v>72</v>
      </c>
      <c r="P23">
        <v>41</v>
      </c>
      <c r="Q23">
        <v>8</v>
      </c>
    </row>
    <row r="24" spans="1:17" ht="15">
      <c r="A24" s="202" t="s">
        <v>269</v>
      </c>
      <c r="B24" s="202"/>
      <c r="C24" s="202"/>
      <c r="D24" s="202"/>
      <c r="E24" s="202"/>
      <c r="F24" s="202"/>
      <c r="G24" s="202"/>
      <c r="H24" s="202"/>
      <c r="I24" s="202"/>
      <c r="J24" s="202"/>
      <c r="K24" s="202"/>
      <c r="L24" s="202"/>
      <c r="M24" s="202"/>
      <c r="N24" s="202"/>
      <c r="O24" s="202"/>
      <c r="P24" s="202"/>
      <c r="Q24" s="202"/>
    </row>
    <row r="25" spans="1:17">
      <c r="A25" t="s">
        <v>497</v>
      </c>
      <c r="B25">
        <v>88.86</v>
      </c>
      <c r="C25">
        <v>13.14</v>
      </c>
      <c r="D25">
        <v>3.13</v>
      </c>
      <c r="E25" s="24">
        <f t="shared" si="0"/>
        <v>13.09592</v>
      </c>
      <c r="G25">
        <v>10.039999999999999</v>
      </c>
      <c r="H25">
        <v>4.08</v>
      </c>
      <c r="I25">
        <v>66.27</v>
      </c>
      <c r="J25">
        <v>89</v>
      </c>
      <c r="K25">
        <v>72.739999999999995</v>
      </c>
      <c r="L25">
        <v>4.7050000000000001</v>
      </c>
      <c r="M25">
        <v>11.2</v>
      </c>
      <c r="N25">
        <v>34.03</v>
      </c>
      <c r="O25">
        <v>14.98</v>
      </c>
      <c r="P25">
        <v>7.87</v>
      </c>
      <c r="Q25">
        <v>2.59</v>
      </c>
    </row>
    <row r="26" spans="1:17" ht="15">
      <c r="A26" s="202" t="s">
        <v>498</v>
      </c>
      <c r="B26" s="202"/>
      <c r="C26" s="202"/>
      <c r="D26" s="202"/>
      <c r="E26" s="202"/>
      <c r="F26" s="202"/>
      <c r="G26" s="202"/>
      <c r="H26" s="202"/>
      <c r="I26" s="202"/>
      <c r="J26" s="202"/>
      <c r="K26" s="202"/>
      <c r="L26" s="202"/>
      <c r="M26" s="202"/>
      <c r="N26" s="202"/>
      <c r="O26" s="202"/>
      <c r="P26" s="202"/>
      <c r="Q26" s="202"/>
    </row>
    <row r="27" spans="1:17">
      <c r="A27" t="s">
        <v>526</v>
      </c>
      <c r="B27">
        <v>89.69</v>
      </c>
      <c r="C27">
        <v>12.78</v>
      </c>
      <c r="D27">
        <v>3.71</v>
      </c>
      <c r="E27" s="24">
        <f t="shared" si="0"/>
        <v>15.522640000000001</v>
      </c>
      <c r="F27">
        <v>4.3319999999999999</v>
      </c>
      <c r="G27">
        <v>2.2000000000000002</v>
      </c>
      <c r="H27">
        <v>2.77</v>
      </c>
      <c r="I27">
        <v>85.56</v>
      </c>
      <c r="J27">
        <v>84</v>
      </c>
      <c r="K27">
        <v>82.25</v>
      </c>
      <c r="L27">
        <v>4.3419999999999996</v>
      </c>
      <c r="M27">
        <v>10.65</v>
      </c>
      <c r="N27">
        <v>56.74</v>
      </c>
      <c r="O27">
        <v>18.29</v>
      </c>
      <c r="P27">
        <v>7.09</v>
      </c>
      <c r="Q27">
        <v>1.75</v>
      </c>
    </row>
    <row r="28" spans="1:17">
      <c r="A28" t="s">
        <v>527</v>
      </c>
      <c r="B28">
        <v>89</v>
      </c>
      <c r="C28">
        <v>10.8</v>
      </c>
      <c r="D28">
        <v>3.79</v>
      </c>
      <c r="E28" s="24">
        <f t="shared" si="0"/>
        <v>15.85736</v>
      </c>
      <c r="G28">
        <v>2</v>
      </c>
      <c r="H28">
        <v>3.1</v>
      </c>
      <c r="I28">
        <v>88.54</v>
      </c>
      <c r="J28">
        <v>86</v>
      </c>
      <c r="K28">
        <v>84.1</v>
      </c>
      <c r="L28">
        <v>4.2880000000000003</v>
      </c>
      <c r="O28">
        <v>21</v>
      </c>
      <c r="P28">
        <v>9</v>
      </c>
    </row>
    <row r="29" spans="1:17">
      <c r="A29" t="s">
        <v>528</v>
      </c>
      <c r="B29">
        <v>89</v>
      </c>
      <c r="C29">
        <v>13.1</v>
      </c>
      <c r="D29">
        <v>3.53</v>
      </c>
      <c r="E29" s="24">
        <f t="shared" si="0"/>
        <v>14.76952</v>
      </c>
      <c r="G29">
        <v>2.6</v>
      </c>
      <c r="H29">
        <v>3.4</v>
      </c>
      <c r="I29">
        <v>81.42</v>
      </c>
      <c r="J29">
        <v>80</v>
      </c>
      <c r="K29">
        <v>80.900000000000006</v>
      </c>
      <c r="L29">
        <v>4.3419999999999996</v>
      </c>
    </row>
    <row r="30" spans="1:17">
      <c r="A30" t="s">
        <v>529</v>
      </c>
      <c r="B30">
        <v>87.99</v>
      </c>
      <c r="C30">
        <v>10.95</v>
      </c>
      <c r="D30">
        <v>2.65</v>
      </c>
      <c r="E30" s="24">
        <f t="shared" si="0"/>
        <v>11.0876</v>
      </c>
      <c r="G30">
        <v>2.41</v>
      </c>
      <c r="H30">
        <v>8.36</v>
      </c>
      <c r="I30">
        <v>65.040000000000006</v>
      </c>
      <c r="J30">
        <v>56</v>
      </c>
      <c r="K30">
        <v>78.28</v>
      </c>
      <c r="L30">
        <v>4.0940000000000003</v>
      </c>
      <c r="M30">
        <v>10.31</v>
      </c>
      <c r="N30">
        <v>5.66</v>
      </c>
      <c r="O30">
        <v>56.88</v>
      </c>
      <c r="P30">
        <v>33.880000000000003</v>
      </c>
      <c r="Q30">
        <v>4.32</v>
      </c>
    </row>
    <row r="31" spans="1:17">
      <c r="A31" t="s">
        <v>530</v>
      </c>
      <c r="B31">
        <v>33.630000000000003</v>
      </c>
      <c r="C31">
        <v>12.05</v>
      </c>
      <c r="D31">
        <v>2.67</v>
      </c>
      <c r="E31" s="24">
        <f t="shared" si="0"/>
        <v>11.171279999999999</v>
      </c>
      <c r="G31">
        <v>3.47</v>
      </c>
      <c r="H31">
        <v>8.65</v>
      </c>
      <c r="I31">
        <v>64.53</v>
      </c>
      <c r="J31">
        <v>51</v>
      </c>
      <c r="K31">
        <v>75.83</v>
      </c>
      <c r="L31">
        <v>4.1539999999999999</v>
      </c>
      <c r="M31">
        <v>5.53</v>
      </c>
      <c r="N31">
        <v>9.17</v>
      </c>
      <c r="O31">
        <v>54.77</v>
      </c>
      <c r="P31">
        <v>34.729999999999997</v>
      </c>
      <c r="Q31">
        <v>4.7699999999999996</v>
      </c>
    </row>
    <row r="32" spans="1:17">
      <c r="A32" t="s">
        <v>531</v>
      </c>
      <c r="B32">
        <v>85.07</v>
      </c>
      <c r="C32">
        <v>6.08</v>
      </c>
      <c r="D32">
        <v>1.76</v>
      </c>
      <c r="E32" s="24">
        <f t="shared" si="0"/>
        <v>7.3638400000000006</v>
      </c>
      <c r="G32">
        <v>1.9</v>
      </c>
      <c r="H32">
        <v>7.1</v>
      </c>
      <c r="I32">
        <v>43.69</v>
      </c>
      <c r="J32">
        <v>40</v>
      </c>
      <c r="K32">
        <v>84.92</v>
      </c>
      <c r="L32">
        <v>4.0460000000000003</v>
      </c>
      <c r="O32">
        <v>71.63</v>
      </c>
      <c r="P32">
        <v>50.09</v>
      </c>
      <c r="Q32">
        <v>5.16</v>
      </c>
    </row>
    <row r="33" spans="1:17" ht="15">
      <c r="A33" s="202" t="s">
        <v>270</v>
      </c>
      <c r="B33" s="202"/>
      <c r="C33" s="202"/>
      <c r="D33" s="202"/>
      <c r="E33" s="202"/>
      <c r="F33" s="202"/>
      <c r="G33" s="202"/>
      <c r="H33" s="202"/>
      <c r="I33" s="202"/>
      <c r="J33" s="202"/>
      <c r="K33" s="202"/>
      <c r="L33" s="202"/>
      <c r="M33" s="202"/>
      <c r="N33" s="202"/>
      <c r="O33" s="202"/>
      <c r="P33" s="202"/>
      <c r="Q33" s="202"/>
    </row>
    <row r="34" spans="1:17">
      <c r="A34" t="s">
        <v>532</v>
      </c>
      <c r="B34">
        <v>89</v>
      </c>
      <c r="C34">
        <v>25.3</v>
      </c>
      <c r="D34">
        <v>3.7</v>
      </c>
      <c r="E34" s="24">
        <f t="shared" si="0"/>
        <v>15.480800000000002</v>
      </c>
      <c r="G34">
        <v>1.5</v>
      </c>
      <c r="H34">
        <v>5.2</v>
      </c>
      <c r="I34">
        <v>84.52</v>
      </c>
      <c r="J34">
        <v>84</v>
      </c>
      <c r="K34">
        <v>68</v>
      </c>
      <c r="L34">
        <v>4.3920000000000003</v>
      </c>
      <c r="M34">
        <v>7.03</v>
      </c>
      <c r="N34">
        <v>29.27</v>
      </c>
      <c r="O34">
        <v>17.77</v>
      </c>
      <c r="P34">
        <v>11.96</v>
      </c>
      <c r="Q34">
        <v>1.8</v>
      </c>
    </row>
    <row r="35" spans="1:17" ht="15">
      <c r="A35" s="202" t="s">
        <v>271</v>
      </c>
      <c r="B35" s="202"/>
      <c r="C35" s="202"/>
      <c r="D35" s="202"/>
      <c r="E35" s="202"/>
      <c r="F35" s="202"/>
      <c r="G35" s="202"/>
      <c r="H35" s="202"/>
      <c r="I35" s="202"/>
      <c r="J35" s="202"/>
      <c r="K35" s="202"/>
      <c r="L35" s="202"/>
      <c r="M35" s="202"/>
      <c r="N35" s="202"/>
      <c r="O35" s="202"/>
      <c r="P35" s="202"/>
      <c r="Q35" s="202"/>
    </row>
    <row r="36" spans="1:17">
      <c r="A36" t="s">
        <v>533</v>
      </c>
      <c r="B36">
        <v>11</v>
      </c>
      <c r="C36">
        <v>11.8</v>
      </c>
      <c r="D36">
        <v>3.53</v>
      </c>
      <c r="E36" s="24">
        <f t="shared" si="0"/>
        <v>14.76952</v>
      </c>
      <c r="F36">
        <v>0.7</v>
      </c>
      <c r="H36">
        <v>9.6</v>
      </c>
      <c r="I36">
        <v>89.67</v>
      </c>
      <c r="J36">
        <v>80</v>
      </c>
      <c r="K36">
        <v>77.900000000000006</v>
      </c>
      <c r="L36">
        <v>3.9649999999999999</v>
      </c>
    </row>
    <row r="37" spans="1:17" ht="15">
      <c r="A37" s="202" t="s">
        <v>534</v>
      </c>
      <c r="B37" s="202"/>
      <c r="C37" s="202"/>
      <c r="D37" s="202"/>
      <c r="E37" s="202"/>
      <c r="F37" s="202"/>
      <c r="G37" s="202"/>
      <c r="H37" s="202"/>
      <c r="I37" s="202"/>
      <c r="J37" s="202"/>
      <c r="K37" s="202"/>
      <c r="L37" s="202"/>
      <c r="M37" s="202"/>
      <c r="N37" s="202"/>
      <c r="O37" s="202"/>
      <c r="P37" s="202"/>
      <c r="Q37" s="202"/>
    </row>
    <row r="38" spans="1:17">
      <c r="A38" t="s">
        <v>535</v>
      </c>
      <c r="B38">
        <v>22</v>
      </c>
      <c r="C38">
        <v>13.4</v>
      </c>
      <c r="D38">
        <v>2.25</v>
      </c>
      <c r="E38" s="24">
        <f t="shared" si="0"/>
        <v>9.4139999999999997</v>
      </c>
      <c r="G38">
        <v>2.8</v>
      </c>
      <c r="H38">
        <v>32.5</v>
      </c>
      <c r="I38">
        <v>73.27</v>
      </c>
      <c r="J38">
        <v>51</v>
      </c>
      <c r="K38">
        <v>51.3</v>
      </c>
      <c r="L38">
        <v>3.149</v>
      </c>
    </row>
    <row r="39" spans="1:17">
      <c r="A39" t="s">
        <v>536</v>
      </c>
      <c r="B39">
        <v>91.49</v>
      </c>
      <c r="C39">
        <v>9.07</v>
      </c>
      <c r="D39">
        <v>2.94</v>
      </c>
      <c r="E39" s="24">
        <f t="shared" si="0"/>
        <v>12.30096</v>
      </c>
      <c r="G39">
        <v>1.1399999999999999</v>
      </c>
      <c r="H39">
        <v>6.84</v>
      </c>
      <c r="I39">
        <v>72.739999999999995</v>
      </c>
      <c r="J39">
        <v>74</v>
      </c>
      <c r="K39">
        <v>82.95</v>
      </c>
      <c r="L39">
        <v>4.0620000000000003</v>
      </c>
      <c r="M39">
        <v>8.5500000000000007</v>
      </c>
      <c r="N39">
        <v>0.93</v>
      </c>
      <c r="O39">
        <v>41.33</v>
      </c>
      <c r="P39">
        <v>26.35</v>
      </c>
      <c r="Q39">
        <v>3.94</v>
      </c>
    </row>
    <row r="40" spans="1:17">
      <c r="A40" t="s">
        <v>537</v>
      </c>
      <c r="B40">
        <v>21.95</v>
      </c>
      <c r="C40">
        <v>9.5500000000000007</v>
      </c>
      <c r="D40">
        <v>2.94</v>
      </c>
      <c r="E40" s="24">
        <f t="shared" si="0"/>
        <v>12.30096</v>
      </c>
      <c r="F40">
        <v>0.86</v>
      </c>
      <c r="H40">
        <v>8.59</v>
      </c>
      <c r="I40">
        <v>74.31</v>
      </c>
      <c r="J40">
        <v>72</v>
      </c>
      <c r="K40">
        <v>81</v>
      </c>
      <c r="L40">
        <v>3.9820000000000002</v>
      </c>
      <c r="M40">
        <v>23.21</v>
      </c>
      <c r="N40">
        <v>1.65</v>
      </c>
      <c r="O40">
        <v>48.23</v>
      </c>
      <c r="P40">
        <v>28.06</v>
      </c>
      <c r="Q40">
        <v>4.37</v>
      </c>
    </row>
    <row r="41" spans="1:17">
      <c r="A41" t="s">
        <v>538</v>
      </c>
      <c r="B41">
        <v>92</v>
      </c>
      <c r="C41">
        <v>10.1</v>
      </c>
      <c r="D41">
        <v>3.35</v>
      </c>
      <c r="E41" s="24">
        <f t="shared" si="0"/>
        <v>14.016400000000001</v>
      </c>
      <c r="G41">
        <v>0.6</v>
      </c>
      <c r="H41">
        <v>6.1</v>
      </c>
      <c r="I41">
        <v>82.52</v>
      </c>
      <c r="J41">
        <v>76</v>
      </c>
      <c r="K41">
        <v>83.2</v>
      </c>
      <c r="L41">
        <v>4.08</v>
      </c>
      <c r="O41">
        <v>44</v>
      </c>
      <c r="P41">
        <v>25</v>
      </c>
      <c r="Q41">
        <v>3</v>
      </c>
    </row>
    <row r="42" spans="1:17" ht="15">
      <c r="A42" s="202" t="s">
        <v>272</v>
      </c>
      <c r="B42" s="202"/>
      <c r="C42" s="202"/>
      <c r="D42" s="202"/>
      <c r="E42" s="202"/>
      <c r="F42" s="202"/>
      <c r="G42" s="202"/>
      <c r="H42" s="202"/>
      <c r="I42" s="202"/>
      <c r="J42" s="202"/>
      <c r="K42" s="202"/>
      <c r="L42" s="202"/>
      <c r="M42" s="202"/>
      <c r="N42" s="202"/>
      <c r="O42" s="202"/>
      <c r="P42" s="202"/>
      <c r="Q42" s="202"/>
    </row>
    <row r="43" spans="1:17">
      <c r="A43" t="s">
        <v>539</v>
      </c>
      <c r="B43">
        <v>34.94</v>
      </c>
      <c r="C43">
        <v>15.16</v>
      </c>
      <c r="D43">
        <v>2.5299999999999998</v>
      </c>
      <c r="E43" s="24">
        <f t="shared" si="0"/>
        <v>10.585519999999999</v>
      </c>
      <c r="G43">
        <v>2.76</v>
      </c>
      <c r="H43">
        <v>8.6300000000000008</v>
      </c>
      <c r="I43">
        <v>61.03</v>
      </c>
      <c r="J43">
        <v>60</v>
      </c>
      <c r="K43">
        <v>73.45</v>
      </c>
      <c r="L43">
        <v>4.1639999999999997</v>
      </c>
      <c r="N43">
        <v>1.79</v>
      </c>
      <c r="O43">
        <v>66.599999999999994</v>
      </c>
      <c r="P43">
        <v>36.14</v>
      </c>
      <c r="Q43">
        <v>5.03</v>
      </c>
    </row>
    <row r="44" spans="1:17">
      <c r="A44" t="s">
        <v>540</v>
      </c>
      <c r="B44">
        <v>92.99</v>
      </c>
      <c r="C44">
        <v>11.11</v>
      </c>
      <c r="D44">
        <v>2.48</v>
      </c>
      <c r="E44" s="24">
        <f t="shared" si="0"/>
        <v>10.37632</v>
      </c>
      <c r="G44">
        <v>1.86</v>
      </c>
      <c r="H44">
        <v>7.94</v>
      </c>
      <c r="I44">
        <v>61.02</v>
      </c>
      <c r="J44">
        <v>46</v>
      </c>
      <c r="K44">
        <v>79.09</v>
      </c>
      <c r="L44">
        <v>4.085</v>
      </c>
      <c r="M44">
        <v>5.8</v>
      </c>
      <c r="N44">
        <v>4.78</v>
      </c>
      <c r="O44">
        <v>66.98</v>
      </c>
      <c r="P44">
        <v>35.65</v>
      </c>
      <c r="Q44">
        <v>5.41</v>
      </c>
    </row>
    <row r="45" spans="1:17" ht="15">
      <c r="A45" s="202" t="s">
        <v>541</v>
      </c>
      <c r="B45" s="202"/>
      <c r="C45" s="202"/>
      <c r="D45" s="202"/>
      <c r="E45" s="202"/>
      <c r="F45" s="202"/>
      <c r="G45" s="202"/>
      <c r="H45" s="202"/>
      <c r="I45" s="202"/>
      <c r="J45" s="202"/>
      <c r="K45" s="202"/>
      <c r="L45" s="202"/>
      <c r="M45" s="202"/>
      <c r="N45" s="202"/>
      <c r="O45" s="202"/>
      <c r="P45" s="202"/>
      <c r="Q45" s="202"/>
    </row>
    <row r="46" spans="1:17">
      <c r="A46" t="s">
        <v>542</v>
      </c>
      <c r="B46">
        <v>29</v>
      </c>
      <c r="C46">
        <v>15</v>
      </c>
      <c r="D46">
        <v>2.82</v>
      </c>
      <c r="E46" s="24">
        <f t="shared" si="0"/>
        <v>11.79888</v>
      </c>
      <c r="G46">
        <v>3.8</v>
      </c>
      <c r="H46">
        <v>6.3</v>
      </c>
      <c r="I46">
        <v>65.53</v>
      </c>
      <c r="J46">
        <v>64</v>
      </c>
      <c r="K46">
        <v>74.900000000000006</v>
      </c>
      <c r="L46">
        <v>4.3129999999999997</v>
      </c>
    </row>
    <row r="47" spans="1:17">
      <c r="A47" t="s">
        <v>543</v>
      </c>
      <c r="B47">
        <v>90</v>
      </c>
      <c r="C47">
        <v>6</v>
      </c>
      <c r="D47">
        <v>2.16</v>
      </c>
      <c r="E47" s="24">
        <f t="shared" si="0"/>
        <v>9.0374400000000001</v>
      </c>
      <c r="G47">
        <v>2.2999999999999998</v>
      </c>
      <c r="H47">
        <v>6.6</v>
      </c>
      <c r="I47">
        <v>53.05</v>
      </c>
      <c r="J47">
        <v>49</v>
      </c>
      <c r="K47">
        <v>85.1</v>
      </c>
      <c r="L47">
        <v>4.0869999999999997</v>
      </c>
      <c r="M47">
        <v>5.83</v>
      </c>
      <c r="N47">
        <v>3.98</v>
      </c>
      <c r="O47">
        <v>66.2</v>
      </c>
      <c r="P47">
        <v>35.200000000000003</v>
      </c>
      <c r="Q47">
        <v>5.18</v>
      </c>
    </row>
    <row r="48" spans="1:17" ht="15">
      <c r="A48" s="202" t="s">
        <v>544</v>
      </c>
      <c r="B48" s="202"/>
      <c r="C48" s="202"/>
      <c r="D48" s="202"/>
      <c r="E48" s="202"/>
      <c r="F48" s="202"/>
      <c r="G48" s="202"/>
      <c r="H48" s="202"/>
      <c r="I48" s="202"/>
      <c r="J48" s="202"/>
      <c r="K48" s="202"/>
      <c r="L48" s="202"/>
      <c r="M48" s="202"/>
      <c r="N48" s="202"/>
      <c r="O48" s="202"/>
      <c r="P48" s="202"/>
      <c r="Q48" s="202"/>
    </row>
    <row r="49" spans="1:17">
      <c r="A49" t="s">
        <v>545</v>
      </c>
      <c r="B49">
        <v>26</v>
      </c>
      <c r="C49">
        <v>18.7</v>
      </c>
      <c r="D49">
        <v>3.13</v>
      </c>
      <c r="E49" s="24">
        <f t="shared" si="0"/>
        <v>13.09592</v>
      </c>
      <c r="G49">
        <v>3.7</v>
      </c>
      <c r="H49">
        <v>9.1</v>
      </c>
      <c r="I49">
        <v>73.989999999999995</v>
      </c>
      <c r="J49">
        <v>71</v>
      </c>
      <c r="K49">
        <v>68.5</v>
      </c>
      <c r="L49">
        <v>4.2469999999999999</v>
      </c>
    </row>
    <row r="50" spans="1:17">
      <c r="A50" t="s">
        <v>546</v>
      </c>
      <c r="B50">
        <v>97</v>
      </c>
      <c r="C50">
        <v>0</v>
      </c>
      <c r="D50">
        <v>2.12</v>
      </c>
      <c r="E50" s="24">
        <f t="shared" si="0"/>
        <v>8.8700800000000015</v>
      </c>
      <c r="J50">
        <v>48</v>
      </c>
      <c r="K50">
        <v>100</v>
      </c>
    </row>
    <row r="51" spans="1:17" ht="15">
      <c r="A51" s="202" t="s">
        <v>548</v>
      </c>
      <c r="B51" s="202"/>
      <c r="C51" s="202"/>
      <c r="D51" s="202"/>
      <c r="E51" s="202"/>
      <c r="F51" s="202"/>
      <c r="G51" s="202"/>
      <c r="H51" s="202"/>
      <c r="I51" s="202"/>
      <c r="J51" s="202"/>
      <c r="K51" s="202"/>
      <c r="L51" s="202"/>
      <c r="M51" s="202"/>
      <c r="N51" s="202"/>
      <c r="O51" s="202"/>
      <c r="P51" s="202"/>
      <c r="Q51" s="202"/>
    </row>
    <row r="52" spans="1:17">
      <c r="A52" t="s">
        <v>547</v>
      </c>
      <c r="B52">
        <v>31</v>
      </c>
      <c r="C52">
        <v>17.399999999999999</v>
      </c>
      <c r="D52">
        <v>3.17</v>
      </c>
      <c r="E52" s="24">
        <f t="shared" si="0"/>
        <v>13.26328</v>
      </c>
      <c r="G52">
        <v>3.6</v>
      </c>
      <c r="H52">
        <v>9.4</v>
      </c>
      <c r="I52">
        <v>75.62</v>
      </c>
      <c r="J52">
        <v>72</v>
      </c>
      <c r="K52">
        <v>69.599999999999994</v>
      </c>
      <c r="L52">
        <v>4.21</v>
      </c>
      <c r="O52">
        <v>55</v>
      </c>
      <c r="P52">
        <v>29</v>
      </c>
      <c r="Q52">
        <v>3</v>
      </c>
    </row>
    <row r="53" spans="1:17">
      <c r="A53" t="s">
        <v>549</v>
      </c>
      <c r="B53">
        <v>42</v>
      </c>
      <c r="C53">
        <v>9.5</v>
      </c>
      <c r="D53">
        <v>2.4700000000000002</v>
      </c>
      <c r="E53" s="24">
        <f t="shared" si="0"/>
        <v>10.334480000000001</v>
      </c>
      <c r="G53">
        <v>3.1</v>
      </c>
      <c r="H53">
        <v>6.2</v>
      </c>
      <c r="I53">
        <v>59</v>
      </c>
      <c r="J53">
        <v>56</v>
      </c>
      <c r="K53">
        <v>81.2</v>
      </c>
      <c r="L53">
        <v>4.1980000000000004</v>
      </c>
      <c r="O53">
        <v>73.3</v>
      </c>
      <c r="P53">
        <v>36.799999999999997</v>
      </c>
      <c r="Q53">
        <v>6</v>
      </c>
    </row>
    <row r="54" spans="1:17">
      <c r="A54" t="s">
        <v>550</v>
      </c>
      <c r="B54">
        <v>89</v>
      </c>
      <c r="C54">
        <v>13</v>
      </c>
      <c r="D54">
        <v>2.4700000000000002</v>
      </c>
      <c r="E54" s="24">
        <f t="shared" si="0"/>
        <v>10.334480000000001</v>
      </c>
      <c r="G54">
        <v>3.5</v>
      </c>
      <c r="H54">
        <v>6.6</v>
      </c>
      <c r="I54">
        <v>58.21</v>
      </c>
      <c r="J54">
        <v>56</v>
      </c>
      <c r="K54">
        <v>76.900000000000006</v>
      </c>
      <c r="L54">
        <v>4.2549999999999999</v>
      </c>
      <c r="O54">
        <v>68.83</v>
      </c>
      <c r="P54">
        <v>40.4</v>
      </c>
    </row>
    <row r="55" spans="1:17">
      <c r="A55" t="s">
        <v>551</v>
      </c>
      <c r="B55">
        <v>92</v>
      </c>
      <c r="C55">
        <v>8.9</v>
      </c>
      <c r="D55">
        <v>2.12</v>
      </c>
      <c r="E55" s="24">
        <f t="shared" si="0"/>
        <v>8.8700800000000015</v>
      </c>
      <c r="G55">
        <v>3.3</v>
      </c>
      <c r="H55">
        <v>5.9</v>
      </c>
      <c r="I55">
        <v>50.46</v>
      </c>
      <c r="J55">
        <v>48</v>
      </c>
      <c r="K55">
        <v>81.900000000000006</v>
      </c>
      <c r="L55">
        <v>4.2119999999999997</v>
      </c>
    </row>
    <row r="56" spans="1:17" ht="15">
      <c r="A56" s="202" t="s">
        <v>273</v>
      </c>
      <c r="B56" s="202"/>
      <c r="C56" s="202"/>
      <c r="D56" s="202"/>
      <c r="E56" s="202"/>
      <c r="F56" s="202"/>
      <c r="G56" s="202"/>
      <c r="H56" s="202"/>
      <c r="I56" s="202"/>
      <c r="J56" s="202"/>
      <c r="K56" s="202"/>
      <c r="L56" s="202"/>
      <c r="M56" s="202"/>
      <c r="N56" s="202"/>
      <c r="O56" s="202"/>
      <c r="P56" s="202"/>
      <c r="Q56" s="202"/>
    </row>
    <row r="57" spans="1:17">
      <c r="A57" t="s">
        <v>552</v>
      </c>
      <c r="B57">
        <v>27</v>
      </c>
      <c r="C57">
        <v>12.8</v>
      </c>
      <c r="D57">
        <v>3</v>
      </c>
      <c r="E57" s="24">
        <f t="shared" si="0"/>
        <v>12.552</v>
      </c>
      <c r="G57">
        <v>2.8</v>
      </c>
      <c r="H57">
        <v>8.9</v>
      </c>
      <c r="I57">
        <v>73.17</v>
      </c>
      <c r="J57">
        <v>68</v>
      </c>
      <c r="K57">
        <v>75.5</v>
      </c>
      <c r="L57">
        <v>4.12</v>
      </c>
      <c r="P57">
        <v>43.51</v>
      </c>
    </row>
    <row r="58" spans="1:17">
      <c r="A58" t="s">
        <v>553</v>
      </c>
      <c r="B58">
        <v>59</v>
      </c>
      <c r="C58">
        <v>5.8</v>
      </c>
      <c r="D58">
        <v>2.34</v>
      </c>
      <c r="E58" s="24">
        <f t="shared" si="0"/>
        <v>9.7905599999999993</v>
      </c>
      <c r="G58">
        <v>2.4</v>
      </c>
      <c r="H58">
        <v>5.6</v>
      </c>
      <c r="I58">
        <v>56.82</v>
      </c>
      <c r="J58">
        <v>53</v>
      </c>
      <c r="K58">
        <v>86.2</v>
      </c>
      <c r="L58">
        <v>4.1310000000000002</v>
      </c>
    </row>
    <row r="59" spans="1:17">
      <c r="A59" t="s">
        <v>554</v>
      </c>
      <c r="B59">
        <v>89.19</v>
      </c>
      <c r="C59">
        <v>6.02</v>
      </c>
      <c r="D59">
        <v>2.21</v>
      </c>
      <c r="E59" s="24">
        <f t="shared" si="0"/>
        <v>9.2466400000000011</v>
      </c>
      <c r="G59">
        <v>1.35</v>
      </c>
      <c r="H59">
        <v>9.6999999999999993</v>
      </c>
      <c r="I59">
        <v>56.93</v>
      </c>
      <c r="J59">
        <v>50</v>
      </c>
      <c r="K59">
        <v>82.93</v>
      </c>
      <c r="L59">
        <v>3.9089999999999998</v>
      </c>
      <c r="O59">
        <v>69.709999999999994</v>
      </c>
      <c r="P59">
        <v>43.32</v>
      </c>
    </row>
    <row r="60" spans="1:17" ht="15">
      <c r="A60" s="202" t="s">
        <v>274</v>
      </c>
      <c r="B60" s="202"/>
      <c r="C60" s="202"/>
      <c r="D60" s="202"/>
      <c r="E60" s="202"/>
      <c r="F60" s="202"/>
      <c r="G60" s="202"/>
      <c r="H60" s="202"/>
      <c r="I60" s="202"/>
      <c r="J60" s="202"/>
      <c r="K60" s="202"/>
      <c r="L60" s="202"/>
      <c r="M60" s="202"/>
      <c r="N60" s="202"/>
      <c r="O60" s="202"/>
      <c r="P60" s="202"/>
      <c r="Q60" s="202"/>
    </row>
    <row r="61" spans="1:17">
      <c r="A61" t="s">
        <v>499</v>
      </c>
      <c r="B61">
        <v>93.16</v>
      </c>
      <c r="C61">
        <v>25.02</v>
      </c>
      <c r="D61">
        <v>3.17</v>
      </c>
      <c r="E61" s="24">
        <f t="shared" si="0"/>
        <v>13.26328</v>
      </c>
      <c r="F61">
        <v>5.03</v>
      </c>
      <c r="G61">
        <v>8.52</v>
      </c>
      <c r="H61">
        <v>4.57</v>
      </c>
      <c r="I61">
        <v>66.12</v>
      </c>
      <c r="J61">
        <v>66</v>
      </c>
      <c r="K61">
        <v>61.89</v>
      </c>
      <c r="L61">
        <v>4.7830000000000004</v>
      </c>
      <c r="M61">
        <v>3.23</v>
      </c>
      <c r="N61">
        <v>5.77</v>
      </c>
      <c r="O61">
        <v>52.12</v>
      </c>
      <c r="P61">
        <v>25.39</v>
      </c>
      <c r="Q61">
        <v>6.65</v>
      </c>
    </row>
    <row r="62" spans="1:17">
      <c r="A62" t="s">
        <v>500</v>
      </c>
      <c r="B62">
        <v>25.96</v>
      </c>
      <c r="C62">
        <v>28.52</v>
      </c>
      <c r="D62">
        <v>3.26</v>
      </c>
      <c r="E62" s="24">
        <f t="shared" si="0"/>
        <v>13.63984</v>
      </c>
      <c r="F62">
        <v>5.03</v>
      </c>
      <c r="G62">
        <v>9.51</v>
      </c>
      <c r="H62">
        <v>4.38</v>
      </c>
      <c r="I62">
        <v>66.39</v>
      </c>
      <c r="J62">
        <v>66</v>
      </c>
      <c r="K62">
        <v>57.59</v>
      </c>
      <c r="L62">
        <v>4.8949999999999996</v>
      </c>
      <c r="M62">
        <v>0.5</v>
      </c>
      <c r="N62">
        <v>4.8099999999999996</v>
      </c>
      <c r="O62">
        <v>49.99</v>
      </c>
      <c r="P62">
        <v>24.32</v>
      </c>
      <c r="Q62">
        <v>6.74</v>
      </c>
    </row>
    <row r="63" spans="1:17" ht="15">
      <c r="A63" s="202" t="s">
        <v>275</v>
      </c>
      <c r="B63" s="202"/>
      <c r="C63" s="202"/>
      <c r="D63" s="202"/>
      <c r="E63" s="202"/>
      <c r="F63" s="202"/>
      <c r="G63" s="202"/>
      <c r="H63" s="202"/>
      <c r="I63" s="202"/>
      <c r="J63" s="202"/>
      <c r="K63" s="202"/>
      <c r="L63" s="202"/>
      <c r="M63" s="202"/>
      <c r="N63" s="202"/>
      <c r="O63" s="202"/>
      <c r="P63" s="202"/>
      <c r="Q63" s="202"/>
    </row>
    <row r="64" spans="1:17">
      <c r="A64" t="s">
        <v>555</v>
      </c>
      <c r="B64">
        <v>34</v>
      </c>
      <c r="C64">
        <v>18</v>
      </c>
      <c r="D64">
        <v>3.26</v>
      </c>
      <c r="E64" s="24">
        <f t="shared" si="0"/>
        <v>13.63984</v>
      </c>
      <c r="G64">
        <v>3.7</v>
      </c>
      <c r="H64">
        <v>10.7</v>
      </c>
      <c r="I64">
        <v>78.569999999999993</v>
      </c>
      <c r="J64">
        <v>74</v>
      </c>
      <c r="K64">
        <v>67.599999999999994</v>
      </c>
      <c r="L64">
        <v>4.17</v>
      </c>
      <c r="O64">
        <v>47.9</v>
      </c>
      <c r="P64">
        <v>31</v>
      </c>
      <c r="Q64">
        <v>4</v>
      </c>
    </row>
    <row r="65" spans="1:17">
      <c r="A65" t="s">
        <v>556</v>
      </c>
      <c r="B65">
        <v>88</v>
      </c>
      <c r="C65">
        <v>16</v>
      </c>
      <c r="D65">
        <v>2.65</v>
      </c>
      <c r="E65" s="24">
        <f t="shared" si="0"/>
        <v>11.0876</v>
      </c>
      <c r="G65">
        <v>2.6</v>
      </c>
      <c r="H65">
        <v>9.4</v>
      </c>
      <c r="I65">
        <v>64.400000000000006</v>
      </c>
      <c r="J65">
        <v>60</v>
      </c>
      <c r="K65">
        <v>72</v>
      </c>
      <c r="L65">
        <v>4.1360000000000001</v>
      </c>
      <c r="M65">
        <v>9.85</v>
      </c>
      <c r="N65">
        <v>2.64</v>
      </c>
      <c r="O65">
        <v>65.92</v>
      </c>
      <c r="P65">
        <v>40.29</v>
      </c>
    </row>
    <row r="66" spans="1:17">
      <c r="A66" t="s">
        <v>557</v>
      </c>
      <c r="B66">
        <v>89</v>
      </c>
      <c r="C66">
        <v>10</v>
      </c>
      <c r="D66">
        <v>2.4300000000000002</v>
      </c>
      <c r="E66" s="24">
        <f t="shared" si="0"/>
        <v>10.167120000000001</v>
      </c>
      <c r="G66">
        <v>2.2999999999999998</v>
      </c>
      <c r="H66">
        <v>8.4</v>
      </c>
      <c r="I66">
        <v>59.97</v>
      </c>
      <c r="J66">
        <v>55</v>
      </c>
      <c r="K66">
        <v>79.3</v>
      </c>
      <c r="L66">
        <v>4.0720000000000001</v>
      </c>
      <c r="O66">
        <v>68</v>
      </c>
      <c r="P66">
        <v>43</v>
      </c>
      <c r="Q66">
        <v>8</v>
      </c>
    </row>
    <row r="67" spans="1:17" ht="15">
      <c r="A67" s="202" t="s">
        <v>558</v>
      </c>
      <c r="B67" s="202"/>
      <c r="C67" s="202"/>
      <c r="D67" s="202"/>
      <c r="E67" s="202"/>
      <c r="F67" s="202"/>
      <c r="G67" s="202"/>
      <c r="H67" s="202"/>
      <c r="I67" s="202"/>
      <c r="J67" s="202"/>
      <c r="K67" s="202"/>
      <c r="L67" s="202"/>
      <c r="M67" s="202"/>
      <c r="N67" s="202"/>
      <c r="O67" s="202"/>
      <c r="P67" s="202"/>
      <c r="Q67" s="202"/>
    </row>
    <row r="68" spans="1:17">
      <c r="A68" t="s">
        <v>559</v>
      </c>
      <c r="B68">
        <v>30</v>
      </c>
      <c r="C68">
        <v>21.3</v>
      </c>
      <c r="D68">
        <v>3.22</v>
      </c>
      <c r="E68" s="24">
        <f t="shared" si="0"/>
        <v>13.472480000000001</v>
      </c>
      <c r="G68">
        <v>4.2</v>
      </c>
      <c r="H68">
        <v>10.1</v>
      </c>
      <c r="I68">
        <v>75.709999999999994</v>
      </c>
      <c r="J68">
        <v>73</v>
      </c>
      <c r="K68">
        <v>64.400000000000006</v>
      </c>
      <c r="L68">
        <v>4.2709999999999999</v>
      </c>
      <c r="O68">
        <v>47.9</v>
      </c>
      <c r="P68">
        <v>31</v>
      </c>
      <c r="Q68">
        <v>4</v>
      </c>
    </row>
    <row r="69" spans="1:17">
      <c r="A69" t="s">
        <v>560</v>
      </c>
      <c r="B69">
        <v>55</v>
      </c>
      <c r="C69">
        <v>6</v>
      </c>
      <c r="D69">
        <v>2.34</v>
      </c>
      <c r="E69" s="24">
        <f>D69*4.184</f>
        <v>9.7905599999999993</v>
      </c>
      <c r="G69">
        <v>2.4</v>
      </c>
      <c r="H69">
        <v>6.9</v>
      </c>
      <c r="I69">
        <v>57.58</v>
      </c>
      <c r="J69">
        <v>53</v>
      </c>
      <c r="K69">
        <v>84.7</v>
      </c>
      <c r="L69">
        <v>4.08</v>
      </c>
    </row>
    <row r="70" spans="1:17">
      <c r="A70" t="s">
        <v>561</v>
      </c>
      <c r="B70">
        <v>90</v>
      </c>
      <c r="C70">
        <v>14.6</v>
      </c>
      <c r="D70">
        <v>2.4700000000000002</v>
      </c>
      <c r="E70" s="24">
        <f>D70*4.184</f>
        <v>10.334480000000001</v>
      </c>
      <c r="G70">
        <v>2.6</v>
      </c>
      <c r="H70">
        <v>10</v>
      </c>
      <c r="I70">
        <v>60.72</v>
      </c>
      <c r="J70">
        <v>56</v>
      </c>
      <c r="K70">
        <v>72.8</v>
      </c>
      <c r="L70">
        <v>4.0910000000000002</v>
      </c>
      <c r="O70">
        <v>57.7</v>
      </c>
      <c r="P70">
        <v>36.799999999999997</v>
      </c>
      <c r="Q70">
        <v>4</v>
      </c>
    </row>
    <row r="71" spans="1:17" ht="15">
      <c r="A71" s="202" t="s">
        <v>562</v>
      </c>
      <c r="B71" s="202"/>
      <c r="C71" s="202"/>
      <c r="D71" s="202"/>
      <c r="E71" s="202"/>
      <c r="F71" s="202"/>
      <c r="G71" s="202"/>
      <c r="H71" s="202"/>
      <c r="I71" s="202"/>
      <c r="J71" s="202"/>
      <c r="K71" s="202"/>
      <c r="L71" s="202"/>
      <c r="M71" s="202"/>
      <c r="N71" s="202"/>
      <c r="O71" s="202"/>
      <c r="P71" s="202"/>
      <c r="Q71" s="202"/>
    </row>
    <row r="72" spans="1:17">
      <c r="A72" t="s">
        <v>563</v>
      </c>
      <c r="B72">
        <v>88</v>
      </c>
      <c r="C72">
        <v>12.5</v>
      </c>
      <c r="D72">
        <v>3.17</v>
      </c>
      <c r="E72" s="24">
        <f>D72*4.184</f>
        <v>13.26328</v>
      </c>
      <c r="G72">
        <v>2.8</v>
      </c>
      <c r="H72">
        <v>2.2999999999999998</v>
      </c>
      <c r="I72">
        <v>72.27</v>
      </c>
      <c r="J72">
        <v>72</v>
      </c>
      <c r="K72">
        <v>82.4</v>
      </c>
      <c r="L72">
        <v>4.3890000000000002</v>
      </c>
    </row>
    <row r="73" spans="1:17" ht="15">
      <c r="A73" s="202" t="s">
        <v>276</v>
      </c>
      <c r="B73" s="202"/>
      <c r="C73" s="202"/>
      <c r="D73" s="202"/>
      <c r="E73" s="202"/>
      <c r="F73" s="202"/>
      <c r="G73" s="202"/>
      <c r="H73" s="202"/>
      <c r="I73" s="202"/>
      <c r="J73" s="202"/>
      <c r="K73" s="202"/>
      <c r="L73" s="202"/>
      <c r="M73" s="202"/>
      <c r="N73" s="202"/>
      <c r="O73" s="202"/>
      <c r="P73" s="202"/>
      <c r="Q73" s="202"/>
    </row>
    <row r="74" spans="1:17">
      <c r="A74" t="s">
        <v>564</v>
      </c>
      <c r="B74">
        <v>46</v>
      </c>
      <c r="C74">
        <v>10.3</v>
      </c>
      <c r="D74">
        <v>2.4700000000000002</v>
      </c>
      <c r="E74" s="24">
        <f>D74*4.184</f>
        <v>10.334480000000001</v>
      </c>
      <c r="G74">
        <v>1.9</v>
      </c>
      <c r="H74">
        <v>12.4</v>
      </c>
      <c r="I74">
        <v>64.02</v>
      </c>
      <c r="J74">
        <v>56</v>
      </c>
      <c r="K74">
        <v>75.400000000000006</v>
      </c>
      <c r="L74">
        <v>3.89</v>
      </c>
      <c r="M74">
        <v>5.49</v>
      </c>
      <c r="O74">
        <v>74</v>
      </c>
      <c r="P74">
        <v>36</v>
      </c>
      <c r="Q74">
        <v>6</v>
      </c>
    </row>
    <row r="75" spans="1:17" ht="15">
      <c r="A75" s="202" t="s">
        <v>565</v>
      </c>
      <c r="B75" s="202"/>
      <c r="C75" s="202"/>
      <c r="D75" s="202"/>
      <c r="E75" s="202"/>
      <c r="F75" s="202"/>
      <c r="G75" s="202"/>
      <c r="H75" s="202"/>
      <c r="I75" s="202"/>
      <c r="J75" s="202"/>
      <c r="K75" s="202"/>
      <c r="L75" s="202"/>
      <c r="M75" s="202"/>
      <c r="N75" s="202"/>
      <c r="O75" s="202"/>
      <c r="P75" s="202"/>
      <c r="Q75" s="202"/>
    </row>
    <row r="76" spans="1:17">
      <c r="A76" t="s">
        <v>566</v>
      </c>
      <c r="B76">
        <v>27</v>
      </c>
      <c r="C76">
        <v>11.6</v>
      </c>
      <c r="D76">
        <v>2.65</v>
      </c>
      <c r="E76" s="24">
        <f>D76*4.184</f>
        <v>11.0876</v>
      </c>
      <c r="G76">
        <v>3.5</v>
      </c>
      <c r="H76">
        <v>8.3000000000000007</v>
      </c>
      <c r="I76">
        <v>63.89</v>
      </c>
      <c r="J76">
        <v>60</v>
      </c>
      <c r="K76">
        <v>76.599999999999994</v>
      </c>
      <c r="L76">
        <v>4.1630000000000003</v>
      </c>
      <c r="O76">
        <v>46.4</v>
      </c>
      <c r="P76">
        <v>28.3</v>
      </c>
      <c r="Q76">
        <v>4</v>
      </c>
    </row>
    <row r="77" spans="1:17">
      <c r="A77" t="s">
        <v>567</v>
      </c>
      <c r="B77">
        <v>91</v>
      </c>
      <c r="C77">
        <v>10.3</v>
      </c>
      <c r="D77">
        <v>2.4300000000000002</v>
      </c>
      <c r="E77" s="24">
        <f>D77*4.184</f>
        <v>10.167120000000001</v>
      </c>
      <c r="G77">
        <v>3.1</v>
      </c>
      <c r="H77">
        <v>7.9</v>
      </c>
      <c r="I77">
        <v>58.93</v>
      </c>
      <c r="J77">
        <v>55</v>
      </c>
      <c r="K77">
        <v>78.7</v>
      </c>
      <c r="L77">
        <v>4.1390000000000002</v>
      </c>
      <c r="O77">
        <v>70.5</v>
      </c>
      <c r="P77">
        <v>36.6</v>
      </c>
      <c r="Q77">
        <v>4</v>
      </c>
    </row>
    <row r="78" spans="1:17" ht="15">
      <c r="A78" s="202" t="s">
        <v>277</v>
      </c>
      <c r="B78" s="202"/>
      <c r="C78" s="202"/>
      <c r="D78" s="202"/>
      <c r="E78" s="202"/>
      <c r="F78" s="202"/>
      <c r="G78" s="202"/>
      <c r="H78" s="202"/>
      <c r="I78" s="202"/>
      <c r="J78" s="202"/>
      <c r="K78" s="202"/>
      <c r="L78" s="202"/>
      <c r="M78" s="202"/>
      <c r="N78" s="202"/>
      <c r="O78" s="202"/>
      <c r="P78" s="202"/>
      <c r="Q78" s="202"/>
    </row>
    <row r="79" spans="1:17">
      <c r="A79" t="s">
        <v>568</v>
      </c>
      <c r="B79">
        <v>94.72</v>
      </c>
      <c r="C79">
        <v>23.9</v>
      </c>
      <c r="D79">
        <v>4.8099999999999996</v>
      </c>
      <c r="E79" s="24">
        <f>D79*4.184</f>
        <v>20.125039999999998</v>
      </c>
      <c r="G79">
        <v>39.79</v>
      </c>
      <c r="H79">
        <v>4.33</v>
      </c>
      <c r="I79">
        <v>73.56</v>
      </c>
      <c r="J79">
        <v>109.2</v>
      </c>
      <c r="K79">
        <v>31.98</v>
      </c>
      <c r="L79">
        <v>6.4180000000000001</v>
      </c>
      <c r="N79">
        <v>1.4</v>
      </c>
      <c r="O79">
        <v>28.25</v>
      </c>
      <c r="P79">
        <v>21.99</v>
      </c>
      <c r="Q79">
        <v>6.4</v>
      </c>
    </row>
    <row r="80" spans="1:17">
      <c r="A80" t="s">
        <v>206</v>
      </c>
      <c r="B80">
        <v>90.43</v>
      </c>
      <c r="C80">
        <v>40.86</v>
      </c>
      <c r="D80">
        <v>3.13</v>
      </c>
      <c r="E80" s="24">
        <f>D80*4.184</f>
        <v>13.09592</v>
      </c>
      <c r="G80">
        <v>7.32</v>
      </c>
      <c r="H80">
        <v>7.41</v>
      </c>
      <c r="I80">
        <v>64.67</v>
      </c>
      <c r="J80">
        <v>71.099999999999994</v>
      </c>
      <c r="K80">
        <v>44.41</v>
      </c>
      <c r="L80">
        <v>4.84</v>
      </c>
      <c r="M80">
        <v>8.75</v>
      </c>
      <c r="N80">
        <v>1.29</v>
      </c>
      <c r="O80">
        <v>30.16</v>
      </c>
      <c r="P80">
        <v>21.42</v>
      </c>
      <c r="Q80">
        <v>8.83</v>
      </c>
    </row>
    <row r="81" spans="1:17" ht="15">
      <c r="A81" s="202" t="s">
        <v>278</v>
      </c>
      <c r="B81" s="202"/>
      <c r="C81" s="202"/>
      <c r="D81" s="202"/>
      <c r="E81" s="202"/>
      <c r="F81" s="202"/>
      <c r="G81" s="202"/>
      <c r="H81" s="202"/>
      <c r="I81" s="202"/>
      <c r="J81" s="202"/>
      <c r="K81" s="202"/>
      <c r="L81" s="202"/>
      <c r="M81" s="202"/>
      <c r="N81" s="202"/>
      <c r="O81" s="202"/>
      <c r="P81" s="202"/>
      <c r="Q81" s="202"/>
    </row>
    <row r="82" spans="1:17">
      <c r="A82" t="s">
        <v>570</v>
      </c>
      <c r="B82">
        <v>12</v>
      </c>
      <c r="C82">
        <v>9.9</v>
      </c>
      <c r="D82">
        <v>3.7</v>
      </c>
      <c r="E82" s="24">
        <f>D82*4.184</f>
        <v>15.480800000000002</v>
      </c>
      <c r="G82">
        <v>1.4</v>
      </c>
      <c r="H82">
        <v>8.1999999999999993</v>
      </c>
      <c r="I82">
        <v>92.29</v>
      </c>
      <c r="J82">
        <v>84</v>
      </c>
      <c r="K82">
        <v>80.5</v>
      </c>
      <c r="L82">
        <v>4.032</v>
      </c>
      <c r="M82">
        <v>19.09</v>
      </c>
      <c r="N82">
        <v>2.09</v>
      </c>
      <c r="O82">
        <v>23.78</v>
      </c>
      <c r="P82">
        <v>19.940000000000001</v>
      </c>
      <c r="Q82">
        <v>2.72</v>
      </c>
    </row>
    <row r="83" spans="1:17" ht="15">
      <c r="A83" s="202" t="s">
        <v>571</v>
      </c>
      <c r="B83" s="202"/>
      <c r="C83" s="202"/>
      <c r="D83" s="202"/>
      <c r="E83" s="202"/>
      <c r="F83" s="202"/>
      <c r="G83" s="202"/>
      <c r="H83" s="202"/>
      <c r="I83" s="202"/>
      <c r="J83" s="202"/>
      <c r="K83" s="202"/>
      <c r="L83" s="202"/>
      <c r="M83" s="202"/>
      <c r="N83" s="202"/>
      <c r="O83" s="202"/>
      <c r="P83" s="202"/>
      <c r="Q83" s="202"/>
    </row>
    <row r="84" spans="1:17">
      <c r="A84" t="s">
        <v>572</v>
      </c>
      <c r="B84">
        <v>88</v>
      </c>
      <c r="C84">
        <v>2.6</v>
      </c>
      <c r="D84">
        <v>3.75</v>
      </c>
      <c r="E84" s="24">
        <f>D84*4.184</f>
        <v>15.690000000000001</v>
      </c>
      <c r="G84">
        <v>0.8</v>
      </c>
      <c r="H84">
        <v>3.3</v>
      </c>
      <c r="I84">
        <v>91.88</v>
      </c>
      <c r="J84">
        <v>85</v>
      </c>
      <c r="K84">
        <v>93.3</v>
      </c>
      <c r="L84">
        <v>4.0940000000000003</v>
      </c>
    </row>
    <row r="85" spans="1:17">
      <c r="A85" t="s">
        <v>573</v>
      </c>
      <c r="B85">
        <v>37</v>
      </c>
      <c r="C85">
        <v>3.6</v>
      </c>
      <c r="D85">
        <v>3.53</v>
      </c>
      <c r="E85" s="24">
        <f>D85*4.184</f>
        <v>14.76952</v>
      </c>
      <c r="G85">
        <v>1</v>
      </c>
      <c r="H85">
        <v>3.9</v>
      </c>
      <c r="I85">
        <v>86.49</v>
      </c>
      <c r="J85">
        <v>80</v>
      </c>
      <c r="K85">
        <v>91.5</v>
      </c>
      <c r="L85">
        <v>4.0949999999999998</v>
      </c>
    </row>
    <row r="86" spans="1:17" ht="15">
      <c r="A86" s="202" t="s">
        <v>279</v>
      </c>
      <c r="B86" s="202"/>
      <c r="C86" s="202"/>
      <c r="D86" s="202"/>
      <c r="E86" s="202"/>
      <c r="F86" s="202"/>
      <c r="G86" s="202"/>
      <c r="H86" s="202"/>
      <c r="I86" s="202"/>
      <c r="J86" s="202"/>
      <c r="K86" s="202"/>
      <c r="L86" s="202"/>
      <c r="M86" s="202"/>
      <c r="N86" s="202"/>
      <c r="O86" s="202"/>
      <c r="P86" s="202"/>
      <c r="Q86" s="202"/>
    </row>
    <row r="87" spans="1:17">
      <c r="A87" t="s">
        <v>501</v>
      </c>
      <c r="B87">
        <v>90</v>
      </c>
      <c r="C87">
        <v>13.4</v>
      </c>
      <c r="D87">
        <v>3</v>
      </c>
      <c r="E87" s="24">
        <f>D87*4.184</f>
        <v>12.552</v>
      </c>
      <c r="G87">
        <v>4.0999999999999996</v>
      </c>
      <c r="H87">
        <v>6</v>
      </c>
      <c r="I87">
        <v>69.61</v>
      </c>
      <c r="J87">
        <v>68</v>
      </c>
      <c r="K87">
        <v>76.5</v>
      </c>
      <c r="L87">
        <v>4.3170000000000002</v>
      </c>
    </row>
    <row r="88" spans="1:17">
      <c r="A88" t="s">
        <v>502</v>
      </c>
      <c r="B88">
        <v>91</v>
      </c>
      <c r="C88">
        <v>14.1</v>
      </c>
      <c r="D88">
        <v>2.65</v>
      </c>
      <c r="E88" s="24">
        <f>D88*4.184</f>
        <v>11.0876</v>
      </c>
      <c r="G88">
        <v>4.9000000000000004</v>
      </c>
      <c r="H88">
        <v>9.8000000000000007</v>
      </c>
      <c r="I88">
        <v>63.13</v>
      </c>
      <c r="J88">
        <v>60</v>
      </c>
      <c r="K88">
        <v>71.2</v>
      </c>
      <c r="L88">
        <v>4.2119999999999997</v>
      </c>
    </row>
    <row r="89" spans="1:17">
      <c r="A89" t="s">
        <v>503</v>
      </c>
      <c r="B89">
        <v>92</v>
      </c>
      <c r="C89">
        <v>15.1</v>
      </c>
      <c r="D89">
        <v>2.87</v>
      </c>
      <c r="E89" s="24">
        <f>D89*4.184</f>
        <v>12.008080000000001</v>
      </c>
      <c r="G89">
        <v>5.9</v>
      </c>
      <c r="H89">
        <v>9.3000000000000007</v>
      </c>
      <c r="I89">
        <v>66.89</v>
      </c>
      <c r="J89">
        <v>65</v>
      </c>
      <c r="K89">
        <v>69.7</v>
      </c>
      <c r="L89">
        <v>4.3</v>
      </c>
    </row>
    <row r="90" spans="1:17" ht="15">
      <c r="A90" s="202" t="s">
        <v>280</v>
      </c>
      <c r="B90" s="202"/>
      <c r="C90" s="202"/>
      <c r="D90" s="202"/>
      <c r="E90" s="202"/>
      <c r="F90" s="202"/>
      <c r="G90" s="202"/>
      <c r="H90" s="202"/>
      <c r="I90" s="202"/>
      <c r="J90" s="202"/>
      <c r="K90" s="202"/>
      <c r="L90" s="202"/>
      <c r="M90" s="202"/>
      <c r="N90" s="202"/>
      <c r="O90" s="202"/>
      <c r="P90" s="202"/>
      <c r="Q90" s="202"/>
    </row>
    <row r="91" spans="1:17">
      <c r="A91" t="s">
        <v>574</v>
      </c>
      <c r="B91">
        <v>21</v>
      </c>
      <c r="C91">
        <v>7.3</v>
      </c>
      <c r="D91">
        <v>3.88</v>
      </c>
      <c r="E91" s="24">
        <f>D91*4.184</f>
        <v>16.233920000000001</v>
      </c>
      <c r="G91">
        <v>9.6999999999999993</v>
      </c>
      <c r="H91">
        <v>5.5</v>
      </c>
      <c r="I91">
        <v>85.21</v>
      </c>
      <c r="J91">
        <v>88</v>
      </c>
      <c r="K91">
        <v>77.5</v>
      </c>
      <c r="L91">
        <v>4.5410000000000004</v>
      </c>
    </row>
    <row r="92" spans="1:17">
      <c r="A92" t="s">
        <v>575</v>
      </c>
      <c r="B92">
        <v>91</v>
      </c>
      <c r="C92">
        <v>6.7</v>
      </c>
      <c r="D92">
        <v>3.62</v>
      </c>
      <c r="E92" s="24">
        <f>D92*4.184</f>
        <v>15.146080000000001</v>
      </c>
      <c r="G92">
        <v>3.7</v>
      </c>
      <c r="H92">
        <v>6.6</v>
      </c>
      <c r="I92">
        <v>87.01</v>
      </c>
      <c r="J92">
        <v>82</v>
      </c>
      <c r="K92">
        <v>83</v>
      </c>
      <c r="L92">
        <v>4.1710000000000003</v>
      </c>
      <c r="M92">
        <v>19.47</v>
      </c>
      <c r="N92">
        <v>1</v>
      </c>
      <c r="O92">
        <v>24.02</v>
      </c>
      <c r="P92">
        <v>20.43</v>
      </c>
      <c r="Q92">
        <v>2.4500000000000002</v>
      </c>
    </row>
    <row r="93" spans="1:17">
      <c r="A93" t="s">
        <v>576</v>
      </c>
      <c r="B93">
        <v>19.41</v>
      </c>
      <c r="C93">
        <v>8.58</v>
      </c>
      <c r="D93">
        <v>3.1</v>
      </c>
      <c r="E93" s="24">
        <f>D93*4.184</f>
        <v>12.970400000000001</v>
      </c>
      <c r="G93">
        <v>3.17</v>
      </c>
      <c r="H93">
        <v>6.78</v>
      </c>
      <c r="I93">
        <v>74.680000000000007</v>
      </c>
      <c r="J93">
        <v>70.2</v>
      </c>
      <c r="K93">
        <v>81.47</v>
      </c>
      <c r="L93">
        <v>4.1639999999999997</v>
      </c>
      <c r="M93">
        <v>0.9</v>
      </c>
      <c r="N93">
        <v>1.7</v>
      </c>
      <c r="O93">
        <v>26.29</v>
      </c>
      <c r="P93">
        <v>23.16</v>
      </c>
      <c r="Q93">
        <v>3.21</v>
      </c>
    </row>
    <row r="94" spans="1:17" ht="15">
      <c r="A94" s="202" t="s">
        <v>577</v>
      </c>
      <c r="B94" s="202"/>
      <c r="C94" s="202"/>
      <c r="D94" s="202"/>
      <c r="E94" s="202"/>
      <c r="F94" s="202"/>
      <c r="G94" s="202"/>
      <c r="H94" s="202"/>
      <c r="I94" s="202"/>
      <c r="J94" s="202"/>
      <c r="K94" s="202"/>
      <c r="L94" s="202"/>
      <c r="M94" s="202"/>
      <c r="N94" s="202"/>
      <c r="O94" s="202"/>
      <c r="P94" s="202"/>
      <c r="Q94" s="202"/>
    </row>
    <row r="95" spans="1:17">
      <c r="A95" t="s">
        <v>578</v>
      </c>
      <c r="B95">
        <v>19</v>
      </c>
      <c r="C95">
        <v>24.1</v>
      </c>
      <c r="D95">
        <v>2.91</v>
      </c>
      <c r="E95" s="24">
        <f>D95*4.184</f>
        <v>12.175440000000002</v>
      </c>
      <c r="G95">
        <v>3.2</v>
      </c>
      <c r="H95">
        <v>12.8</v>
      </c>
      <c r="I95">
        <v>70.62</v>
      </c>
      <c r="J95">
        <v>66</v>
      </c>
      <c r="K95">
        <v>59.9</v>
      </c>
      <c r="L95">
        <v>4.1479999999999997</v>
      </c>
    </row>
    <row r="96" spans="1:17">
      <c r="A96" t="s">
        <v>579</v>
      </c>
      <c r="B96">
        <v>88</v>
      </c>
      <c r="C96">
        <v>14.9</v>
      </c>
      <c r="D96">
        <v>2.56</v>
      </c>
      <c r="E96" s="24">
        <f>D96*4.184</f>
        <v>10.711040000000001</v>
      </c>
      <c r="G96">
        <v>3</v>
      </c>
      <c r="H96">
        <v>8.6999999999999993</v>
      </c>
      <c r="I96">
        <v>61.66</v>
      </c>
      <c r="J96">
        <v>58</v>
      </c>
      <c r="K96">
        <v>73.400000000000006</v>
      </c>
      <c r="L96">
        <v>4.17</v>
      </c>
    </row>
    <row r="97" spans="1:17" ht="15">
      <c r="A97" s="202" t="s">
        <v>580</v>
      </c>
      <c r="B97" s="202"/>
      <c r="C97" s="202"/>
      <c r="D97" s="202"/>
      <c r="E97" s="202"/>
      <c r="F97" s="202"/>
      <c r="G97" s="202"/>
      <c r="H97" s="202"/>
      <c r="I97" s="202"/>
      <c r="J97" s="202"/>
      <c r="K97" s="202"/>
      <c r="L97" s="202"/>
      <c r="M97" s="202"/>
      <c r="N97" s="202"/>
      <c r="O97" s="202"/>
      <c r="P97" s="202"/>
      <c r="Q97" s="202"/>
    </row>
    <row r="98" spans="1:17">
      <c r="A98" t="s">
        <v>581</v>
      </c>
      <c r="B98">
        <v>18</v>
      </c>
      <c r="C98">
        <v>17</v>
      </c>
      <c r="D98">
        <v>2.78</v>
      </c>
      <c r="E98" s="24">
        <f>D98*4.184</f>
        <v>11.63152</v>
      </c>
      <c r="J98">
        <v>63</v>
      </c>
      <c r="K98">
        <v>83</v>
      </c>
      <c r="L98">
        <v>4.4050000000000002</v>
      </c>
    </row>
    <row r="99" spans="1:17">
      <c r="A99" t="s">
        <v>582</v>
      </c>
      <c r="B99">
        <v>87</v>
      </c>
      <c r="C99">
        <v>18.399999999999999</v>
      </c>
      <c r="D99">
        <v>2.5099999999999998</v>
      </c>
      <c r="E99" s="24">
        <f>D99*4.184</f>
        <v>10.50184</v>
      </c>
      <c r="G99">
        <v>2.4</v>
      </c>
      <c r="H99">
        <v>11</v>
      </c>
      <c r="I99">
        <v>61.68</v>
      </c>
      <c r="J99">
        <v>57</v>
      </c>
      <c r="K99">
        <v>68.2</v>
      </c>
      <c r="L99">
        <v>4.0960000000000001</v>
      </c>
    </row>
    <row r="100" spans="1:17" ht="15">
      <c r="A100" s="202" t="s">
        <v>583</v>
      </c>
      <c r="B100" s="202"/>
      <c r="C100" s="202"/>
      <c r="D100" s="202"/>
      <c r="E100" s="202"/>
      <c r="F100" s="202"/>
      <c r="G100" s="202"/>
      <c r="H100" s="202"/>
      <c r="I100" s="202"/>
      <c r="J100" s="202"/>
      <c r="K100" s="202"/>
      <c r="L100" s="202"/>
      <c r="M100" s="202"/>
      <c r="N100" s="202"/>
      <c r="O100" s="202"/>
      <c r="P100" s="202"/>
      <c r="Q100" s="202"/>
    </row>
    <row r="101" spans="1:17">
      <c r="A101" t="s">
        <v>584</v>
      </c>
      <c r="B101">
        <v>19</v>
      </c>
      <c r="C101">
        <v>27.2</v>
      </c>
      <c r="D101">
        <v>3</v>
      </c>
      <c r="E101" s="24">
        <f>D101*4.184</f>
        <v>12.552</v>
      </c>
      <c r="F101">
        <v>4.6399999999999997</v>
      </c>
      <c r="G101">
        <v>2.5</v>
      </c>
      <c r="H101">
        <v>13.5</v>
      </c>
      <c r="I101">
        <v>73.22</v>
      </c>
      <c r="J101">
        <v>68</v>
      </c>
      <c r="K101">
        <v>56.8</v>
      </c>
      <c r="L101">
        <v>4.1289999999999996</v>
      </c>
      <c r="O101">
        <v>35</v>
      </c>
      <c r="P101">
        <v>33</v>
      </c>
    </row>
    <row r="102" spans="1:17">
      <c r="A102" t="s">
        <v>585</v>
      </c>
      <c r="B102">
        <v>90</v>
      </c>
      <c r="C102">
        <v>22</v>
      </c>
      <c r="D102">
        <v>2.65</v>
      </c>
      <c r="E102" s="24">
        <f>D102*4.184</f>
        <v>11.0876</v>
      </c>
      <c r="F102">
        <v>4.6399999999999997</v>
      </c>
      <c r="G102">
        <v>2.7</v>
      </c>
      <c r="H102">
        <v>10.1</v>
      </c>
      <c r="I102">
        <v>63.4</v>
      </c>
      <c r="J102">
        <v>60</v>
      </c>
      <c r="K102">
        <v>65.2</v>
      </c>
      <c r="L102">
        <v>4.2030000000000003</v>
      </c>
      <c r="O102">
        <v>36</v>
      </c>
      <c r="P102">
        <v>32</v>
      </c>
      <c r="Q102">
        <v>7</v>
      </c>
    </row>
    <row r="103" spans="1:17" ht="15">
      <c r="A103" s="202" t="s">
        <v>586</v>
      </c>
      <c r="B103" s="202"/>
      <c r="C103" s="202"/>
      <c r="D103" s="202"/>
      <c r="E103" s="202"/>
      <c r="F103" s="202"/>
      <c r="G103" s="202"/>
      <c r="H103" s="202"/>
      <c r="I103" s="202"/>
      <c r="J103" s="202"/>
      <c r="K103" s="202"/>
      <c r="L103" s="202"/>
      <c r="M103" s="202"/>
      <c r="N103" s="202"/>
      <c r="O103" s="202"/>
      <c r="P103" s="202"/>
      <c r="Q103" s="202"/>
    </row>
    <row r="104" spans="1:17">
      <c r="A104" t="s">
        <v>587</v>
      </c>
      <c r="B104">
        <v>20</v>
      </c>
      <c r="C104">
        <v>19.399999999999999</v>
      </c>
      <c r="D104">
        <v>3.04</v>
      </c>
      <c r="E104" s="24">
        <f>D104*4.184</f>
        <v>12.71936</v>
      </c>
      <c r="G104">
        <v>5</v>
      </c>
      <c r="H104">
        <v>10.199999999999999</v>
      </c>
      <c r="I104">
        <v>71.27</v>
      </c>
      <c r="J104">
        <v>69</v>
      </c>
      <c r="K104">
        <v>65.400000000000006</v>
      </c>
      <c r="L104">
        <v>4.28</v>
      </c>
      <c r="O104">
        <v>40</v>
      </c>
      <c r="P104">
        <v>31</v>
      </c>
    </row>
    <row r="105" spans="1:17">
      <c r="A105" t="s">
        <v>588</v>
      </c>
      <c r="B105">
        <v>26</v>
      </c>
      <c r="C105">
        <v>14.6</v>
      </c>
      <c r="D105">
        <v>2.82</v>
      </c>
      <c r="E105" s="24">
        <f>D105*4.184</f>
        <v>11.79888</v>
      </c>
      <c r="G105">
        <v>2.9</v>
      </c>
      <c r="H105">
        <v>7.8</v>
      </c>
      <c r="I105">
        <v>67.44</v>
      </c>
      <c r="J105">
        <v>64</v>
      </c>
      <c r="K105">
        <v>74.7</v>
      </c>
      <c r="L105">
        <v>4.1980000000000004</v>
      </c>
      <c r="O105">
        <v>43</v>
      </c>
      <c r="P105">
        <v>35</v>
      </c>
    </row>
    <row r="106" spans="1:17">
      <c r="A106" t="s">
        <v>589</v>
      </c>
      <c r="B106">
        <v>18</v>
      </c>
      <c r="C106">
        <v>21</v>
      </c>
      <c r="D106">
        <v>3</v>
      </c>
      <c r="E106" s="24">
        <f>D106*4.184</f>
        <v>12.552</v>
      </c>
      <c r="J106">
        <v>68</v>
      </c>
      <c r="K106">
        <v>79</v>
      </c>
      <c r="L106">
        <v>4.4649999999999999</v>
      </c>
    </row>
    <row r="107" spans="1:17">
      <c r="A107" t="s">
        <v>590</v>
      </c>
      <c r="B107">
        <v>89</v>
      </c>
      <c r="C107">
        <v>16</v>
      </c>
      <c r="D107">
        <v>2.4300000000000002</v>
      </c>
      <c r="E107" s="24">
        <f>D107*4.184</f>
        <v>10.167120000000001</v>
      </c>
      <c r="G107">
        <v>2.8</v>
      </c>
      <c r="H107">
        <v>8.5</v>
      </c>
      <c r="I107">
        <v>58.33</v>
      </c>
      <c r="J107">
        <v>55</v>
      </c>
      <c r="K107">
        <v>72.7</v>
      </c>
      <c r="L107">
        <v>4.1840000000000002</v>
      </c>
      <c r="O107">
        <v>46.9</v>
      </c>
      <c r="P107">
        <v>36</v>
      </c>
      <c r="Q107">
        <v>10</v>
      </c>
    </row>
    <row r="108" spans="1:17" ht="15">
      <c r="A108" s="202" t="s">
        <v>281</v>
      </c>
      <c r="B108" s="202"/>
      <c r="C108" s="202"/>
      <c r="D108" s="202"/>
      <c r="E108" s="202"/>
      <c r="F108" s="202"/>
      <c r="G108" s="202"/>
      <c r="H108" s="202"/>
      <c r="I108" s="202"/>
      <c r="J108" s="202"/>
      <c r="K108" s="202"/>
      <c r="L108" s="202"/>
      <c r="M108" s="202"/>
      <c r="N108" s="202"/>
      <c r="O108" s="202"/>
      <c r="P108" s="202"/>
      <c r="Q108" s="202"/>
    </row>
    <row r="109" spans="1:17">
      <c r="A109" t="s">
        <v>591</v>
      </c>
      <c r="B109">
        <v>92</v>
      </c>
      <c r="C109">
        <v>22.4</v>
      </c>
      <c r="D109">
        <v>3.62</v>
      </c>
      <c r="E109" s="24">
        <f>D109*4.184</f>
        <v>15.146080000000001</v>
      </c>
      <c r="G109">
        <v>6.9</v>
      </c>
      <c r="H109">
        <v>7.3</v>
      </c>
      <c r="I109">
        <v>79.66</v>
      </c>
      <c r="J109">
        <v>82</v>
      </c>
      <c r="K109">
        <v>63.4</v>
      </c>
      <c r="L109">
        <v>4.5449999999999999</v>
      </c>
    </row>
    <row r="110" spans="1:17">
      <c r="A110" t="s">
        <v>592</v>
      </c>
      <c r="B110">
        <v>91</v>
      </c>
      <c r="C110">
        <v>23.4</v>
      </c>
      <c r="D110">
        <v>3.31</v>
      </c>
      <c r="E110" s="24">
        <f>D110*4.184</f>
        <v>13.84904</v>
      </c>
      <c r="G110">
        <v>3.9</v>
      </c>
      <c r="H110">
        <v>6.6</v>
      </c>
      <c r="I110">
        <v>74.849999999999994</v>
      </c>
      <c r="J110">
        <v>75</v>
      </c>
      <c r="K110">
        <v>66.099999999999994</v>
      </c>
      <c r="L110">
        <v>4.4320000000000004</v>
      </c>
      <c r="M110">
        <v>7.88</v>
      </c>
      <c r="N110">
        <v>0.73</v>
      </c>
      <c r="O110">
        <v>52.26</v>
      </c>
      <c r="P110">
        <v>32.229999999999997</v>
      </c>
      <c r="Q110">
        <v>10.34</v>
      </c>
    </row>
    <row r="111" spans="1:17" ht="15">
      <c r="A111" s="202" t="s">
        <v>593</v>
      </c>
      <c r="B111" s="202"/>
      <c r="C111" s="202"/>
      <c r="D111" s="202"/>
      <c r="E111" s="202"/>
      <c r="F111" s="202"/>
      <c r="G111" s="202"/>
      <c r="H111" s="202"/>
      <c r="I111" s="202"/>
      <c r="J111" s="202"/>
      <c r="K111" s="202"/>
      <c r="L111" s="202"/>
      <c r="M111" s="202"/>
      <c r="N111" s="202"/>
      <c r="O111" s="202"/>
      <c r="P111" s="202"/>
      <c r="Q111" s="202"/>
    </row>
    <row r="112" spans="1:17">
      <c r="A112" t="s">
        <v>594</v>
      </c>
      <c r="B112">
        <v>81</v>
      </c>
      <c r="C112">
        <v>8.9</v>
      </c>
      <c r="D112">
        <v>2.87</v>
      </c>
      <c r="E112" s="24">
        <f t="shared" ref="E112:E142" si="2">D112*4.184</f>
        <v>12.008080000000001</v>
      </c>
      <c r="G112">
        <v>2.4</v>
      </c>
      <c r="H112">
        <v>6.8</v>
      </c>
      <c r="I112">
        <v>69.8</v>
      </c>
      <c r="J112">
        <v>65</v>
      </c>
      <c r="K112">
        <v>81.900000000000006</v>
      </c>
      <c r="L112">
        <v>4.1269999999999998</v>
      </c>
      <c r="O112">
        <v>55</v>
      </c>
      <c r="P112">
        <v>33</v>
      </c>
      <c r="Q112">
        <v>3</v>
      </c>
    </row>
    <row r="113" spans="1:17">
      <c r="A113" t="s">
        <v>595</v>
      </c>
      <c r="B113">
        <v>82</v>
      </c>
      <c r="C113">
        <v>8</v>
      </c>
      <c r="D113">
        <v>3.04</v>
      </c>
      <c r="E113" s="24">
        <f t="shared" si="2"/>
        <v>12.71936</v>
      </c>
      <c r="G113">
        <v>2.2999999999999998</v>
      </c>
      <c r="H113">
        <v>5.4</v>
      </c>
      <c r="I113">
        <v>73.180000000000007</v>
      </c>
      <c r="J113">
        <v>69</v>
      </c>
      <c r="K113">
        <v>84.3</v>
      </c>
      <c r="L113">
        <v>4.1669999999999998</v>
      </c>
      <c r="M113">
        <v>4.26</v>
      </c>
      <c r="N113">
        <v>32.58</v>
      </c>
      <c r="O113">
        <v>43</v>
      </c>
      <c r="P113">
        <v>25.46</v>
      </c>
      <c r="Q113">
        <v>3.17</v>
      </c>
    </row>
    <row r="114" spans="1:17">
      <c r="A114" t="s">
        <v>596</v>
      </c>
      <c r="B114">
        <v>85</v>
      </c>
      <c r="C114">
        <v>6.6</v>
      </c>
      <c r="D114">
        <v>2.21</v>
      </c>
      <c r="E114" s="24">
        <f t="shared" si="2"/>
        <v>9.2466400000000011</v>
      </c>
      <c r="G114">
        <v>1.3</v>
      </c>
      <c r="H114">
        <v>7.2</v>
      </c>
      <c r="I114">
        <v>55.28</v>
      </c>
      <c r="J114">
        <v>50</v>
      </c>
      <c r="K114">
        <v>84.9</v>
      </c>
      <c r="L114">
        <v>4.0179999999999998</v>
      </c>
      <c r="O114">
        <v>67</v>
      </c>
      <c r="P114">
        <v>39</v>
      </c>
      <c r="Q114">
        <v>11</v>
      </c>
    </row>
    <row r="115" spans="1:17">
      <c r="A115" t="s">
        <v>597</v>
      </c>
      <c r="B115">
        <v>90</v>
      </c>
      <c r="C115">
        <v>3.2</v>
      </c>
      <c r="D115">
        <v>2.21</v>
      </c>
      <c r="E115" s="24">
        <f t="shared" si="2"/>
        <v>9.2466400000000011</v>
      </c>
      <c r="G115">
        <v>0.7</v>
      </c>
      <c r="H115">
        <v>1.7</v>
      </c>
      <c r="I115">
        <v>53.18</v>
      </c>
      <c r="J115">
        <v>50</v>
      </c>
      <c r="K115">
        <v>94.4</v>
      </c>
      <c r="L115">
        <v>4.1639999999999997</v>
      </c>
      <c r="M115">
        <v>3.75</v>
      </c>
      <c r="N115">
        <v>14.34</v>
      </c>
      <c r="O115">
        <v>78.260000000000005</v>
      </c>
      <c r="P115">
        <v>42.03</v>
      </c>
      <c r="Q115">
        <v>4.05</v>
      </c>
    </row>
    <row r="116" spans="1:17">
      <c r="A116" t="s">
        <v>598</v>
      </c>
      <c r="B116">
        <v>94</v>
      </c>
      <c r="C116">
        <v>23</v>
      </c>
      <c r="D116">
        <v>3.79</v>
      </c>
      <c r="E116" s="24">
        <f t="shared" si="2"/>
        <v>15.85736</v>
      </c>
      <c r="G116">
        <v>9.8000000000000007</v>
      </c>
      <c r="H116">
        <v>2.4</v>
      </c>
      <c r="I116">
        <v>76.86</v>
      </c>
      <c r="J116">
        <v>86</v>
      </c>
      <c r="K116">
        <v>64.8</v>
      </c>
      <c r="L116">
        <v>4.91</v>
      </c>
      <c r="O116">
        <v>43</v>
      </c>
    </row>
    <row r="117" spans="1:17">
      <c r="A117" t="s">
        <v>599</v>
      </c>
      <c r="B117">
        <v>92</v>
      </c>
      <c r="C117">
        <v>25</v>
      </c>
      <c r="D117">
        <v>3.88</v>
      </c>
      <c r="E117" s="24">
        <f t="shared" si="2"/>
        <v>16.233920000000001</v>
      </c>
      <c r="G117">
        <v>10.3</v>
      </c>
      <c r="H117">
        <v>4.8</v>
      </c>
      <c r="I117">
        <v>79.45</v>
      </c>
      <c r="J117">
        <v>88</v>
      </c>
      <c r="K117">
        <v>59.9</v>
      </c>
      <c r="L117">
        <v>4.867</v>
      </c>
      <c r="M117">
        <v>1.1599999999999999</v>
      </c>
      <c r="N117">
        <v>5.88</v>
      </c>
      <c r="O117">
        <v>33.659999999999997</v>
      </c>
      <c r="P117">
        <v>16.170000000000002</v>
      </c>
      <c r="Q117">
        <v>4.96</v>
      </c>
    </row>
    <row r="118" spans="1:17">
      <c r="A118" t="s">
        <v>600</v>
      </c>
      <c r="B118">
        <v>93</v>
      </c>
      <c r="C118">
        <v>29.7</v>
      </c>
      <c r="D118">
        <v>3.88</v>
      </c>
      <c r="E118" s="24">
        <f t="shared" si="2"/>
        <v>16.233920000000001</v>
      </c>
      <c r="G118">
        <v>9.1999999999999993</v>
      </c>
      <c r="H118">
        <v>7.8</v>
      </c>
      <c r="I118">
        <v>81.5</v>
      </c>
      <c r="J118">
        <v>88</v>
      </c>
      <c r="K118">
        <v>53.3</v>
      </c>
      <c r="L118">
        <v>4.7549999999999999</v>
      </c>
      <c r="O118">
        <v>23</v>
      </c>
      <c r="P118">
        <v>7</v>
      </c>
      <c r="Q118">
        <v>1</v>
      </c>
    </row>
    <row r="119" spans="1:17">
      <c r="A119" t="s">
        <v>453</v>
      </c>
      <c r="B119">
        <v>31.44</v>
      </c>
      <c r="C119">
        <v>30.63</v>
      </c>
      <c r="D119">
        <v>4.32</v>
      </c>
      <c r="E119" s="24">
        <f t="shared" si="2"/>
        <v>18.07488</v>
      </c>
      <c r="G119">
        <v>10.84</v>
      </c>
      <c r="H119">
        <v>5.13</v>
      </c>
      <c r="I119">
        <v>86.68</v>
      </c>
      <c r="J119">
        <v>98</v>
      </c>
      <c r="K119">
        <v>53.4</v>
      </c>
      <c r="L119">
        <v>4.9660000000000002</v>
      </c>
      <c r="M119">
        <v>0.9</v>
      </c>
      <c r="N119">
        <v>6.06</v>
      </c>
      <c r="O119">
        <v>31.52</v>
      </c>
      <c r="P119">
        <v>15.27</v>
      </c>
      <c r="Q119">
        <v>4.7</v>
      </c>
    </row>
    <row r="120" spans="1:17">
      <c r="A120" t="s">
        <v>602</v>
      </c>
      <c r="B120">
        <v>87</v>
      </c>
      <c r="C120">
        <v>9</v>
      </c>
      <c r="D120">
        <v>3.66</v>
      </c>
      <c r="E120" s="24">
        <f t="shared" si="2"/>
        <v>15.313440000000002</v>
      </c>
      <c r="G120">
        <v>3.7</v>
      </c>
      <c r="H120">
        <v>1.9</v>
      </c>
      <c r="I120">
        <v>83.15</v>
      </c>
      <c r="J120">
        <v>83</v>
      </c>
      <c r="K120">
        <v>85.4</v>
      </c>
      <c r="L120">
        <v>4.4000000000000004</v>
      </c>
    </row>
    <row r="121" spans="1:17">
      <c r="A121" t="s">
        <v>603</v>
      </c>
      <c r="B121">
        <v>44</v>
      </c>
      <c r="C121">
        <v>8.9</v>
      </c>
      <c r="D121">
        <v>3.26</v>
      </c>
      <c r="E121" s="24">
        <f t="shared" si="2"/>
        <v>13.63984</v>
      </c>
      <c r="G121">
        <v>3.8</v>
      </c>
      <c r="H121">
        <v>2.8</v>
      </c>
      <c r="I121">
        <v>74.67</v>
      </c>
      <c r="J121">
        <v>74</v>
      </c>
      <c r="K121">
        <v>84.5</v>
      </c>
      <c r="L121">
        <v>4.367</v>
      </c>
      <c r="M121">
        <v>1.29</v>
      </c>
      <c r="N121">
        <v>60.16</v>
      </c>
      <c r="O121">
        <v>21.04</v>
      </c>
      <c r="P121">
        <v>9.89</v>
      </c>
      <c r="Q121">
        <v>1.74</v>
      </c>
    </row>
    <row r="122" spans="1:17">
      <c r="A122" t="s">
        <v>604</v>
      </c>
      <c r="B122">
        <v>91</v>
      </c>
      <c r="C122">
        <v>46.8</v>
      </c>
      <c r="D122">
        <v>3.79</v>
      </c>
      <c r="E122" s="24">
        <f t="shared" si="2"/>
        <v>15.85736</v>
      </c>
      <c r="G122">
        <v>2.4</v>
      </c>
      <c r="H122">
        <v>3.4</v>
      </c>
      <c r="I122">
        <v>78.47</v>
      </c>
      <c r="J122">
        <v>86</v>
      </c>
      <c r="K122">
        <v>47.4</v>
      </c>
      <c r="L122">
        <v>4.8369999999999997</v>
      </c>
    </row>
    <row r="123" spans="1:17">
      <c r="A123" t="s">
        <v>605</v>
      </c>
      <c r="B123">
        <v>90</v>
      </c>
      <c r="C123">
        <v>67.2</v>
      </c>
      <c r="D123">
        <v>3.92</v>
      </c>
      <c r="E123" s="24">
        <f t="shared" si="2"/>
        <v>16.40128</v>
      </c>
      <c r="G123">
        <v>2.4</v>
      </c>
      <c r="H123">
        <v>1.8</v>
      </c>
      <c r="I123">
        <v>75.290000000000006</v>
      </c>
      <c r="J123">
        <v>89</v>
      </c>
      <c r="K123">
        <v>28.6</v>
      </c>
      <c r="L123">
        <v>5.2089999999999996</v>
      </c>
      <c r="M123">
        <v>0.23</v>
      </c>
      <c r="N123">
        <v>15.42</v>
      </c>
      <c r="O123">
        <v>8.07</v>
      </c>
      <c r="P123">
        <v>4.8099999999999996</v>
      </c>
      <c r="Q123">
        <v>2.2599999999999998</v>
      </c>
    </row>
    <row r="124" spans="1:17">
      <c r="A124" t="s">
        <v>606</v>
      </c>
      <c r="B124">
        <v>90</v>
      </c>
      <c r="C124">
        <v>25.6</v>
      </c>
      <c r="D124">
        <v>3.66</v>
      </c>
      <c r="E124" s="24">
        <f t="shared" si="2"/>
        <v>15.313440000000002</v>
      </c>
      <c r="F124">
        <v>4.7300000000000004</v>
      </c>
      <c r="G124">
        <v>2.4</v>
      </c>
      <c r="H124">
        <v>7.5</v>
      </c>
      <c r="I124">
        <v>84.5</v>
      </c>
      <c r="J124">
        <v>83</v>
      </c>
      <c r="K124">
        <v>64.5</v>
      </c>
      <c r="L124">
        <v>4.3490000000000002</v>
      </c>
      <c r="M124">
        <v>3.4</v>
      </c>
      <c r="N124">
        <v>15.23</v>
      </c>
      <c r="O124">
        <v>38.53</v>
      </c>
      <c r="P124">
        <v>11.78</v>
      </c>
      <c r="Q124">
        <v>1.6</v>
      </c>
    </row>
    <row r="125" spans="1:17">
      <c r="A125" t="s">
        <v>607</v>
      </c>
      <c r="B125">
        <v>88</v>
      </c>
      <c r="C125">
        <v>10.1</v>
      </c>
      <c r="D125">
        <v>3.97</v>
      </c>
      <c r="E125" s="24">
        <f t="shared" si="2"/>
        <v>16.610480000000003</v>
      </c>
      <c r="F125">
        <v>4.5445000000000002</v>
      </c>
      <c r="G125">
        <v>4.2</v>
      </c>
      <c r="H125">
        <v>1.4</v>
      </c>
      <c r="I125">
        <v>88.85</v>
      </c>
      <c r="J125">
        <v>90</v>
      </c>
      <c r="K125">
        <v>84.3</v>
      </c>
      <c r="L125">
        <v>4.4640000000000004</v>
      </c>
      <c r="M125">
        <v>2.72</v>
      </c>
      <c r="N125">
        <v>69.7</v>
      </c>
      <c r="O125">
        <v>9.9499999999999993</v>
      </c>
      <c r="P125">
        <v>3.72</v>
      </c>
      <c r="Q125">
        <v>1.1499999999999999</v>
      </c>
    </row>
    <row r="126" spans="1:17">
      <c r="A126" t="s">
        <v>857</v>
      </c>
      <c r="B126">
        <v>86</v>
      </c>
      <c r="C126">
        <v>11.2</v>
      </c>
      <c r="D126">
        <v>4.1900000000000004</v>
      </c>
      <c r="E126" s="24">
        <f t="shared" si="2"/>
        <v>17.530960000000004</v>
      </c>
      <c r="G126">
        <v>2.2000000000000002</v>
      </c>
      <c r="H126">
        <v>1</v>
      </c>
      <c r="I126">
        <v>95.44</v>
      </c>
      <c r="J126">
        <v>95</v>
      </c>
      <c r="K126">
        <v>85.6</v>
      </c>
      <c r="L126">
        <v>4.3920000000000003</v>
      </c>
      <c r="M126">
        <v>2.48</v>
      </c>
      <c r="N126">
        <v>76.239999999999995</v>
      </c>
      <c r="O126">
        <v>8.9700000000000006</v>
      </c>
      <c r="P126">
        <v>3.59</v>
      </c>
      <c r="Q126">
        <v>1.25</v>
      </c>
    </row>
    <row r="127" spans="1:17">
      <c r="A127" t="s">
        <v>609</v>
      </c>
      <c r="B127">
        <v>72</v>
      </c>
      <c r="C127">
        <v>10.7</v>
      </c>
      <c r="D127">
        <v>4.0999999999999996</v>
      </c>
      <c r="E127" s="24">
        <f t="shared" si="2"/>
        <v>17.154399999999999</v>
      </c>
      <c r="G127">
        <v>4.3</v>
      </c>
      <c r="H127">
        <v>1.6</v>
      </c>
      <c r="I127">
        <v>91.64</v>
      </c>
      <c r="J127">
        <v>93</v>
      </c>
      <c r="K127">
        <v>83.4</v>
      </c>
      <c r="L127">
        <v>4.47</v>
      </c>
      <c r="M127">
        <v>2.16</v>
      </c>
      <c r="N127">
        <v>71.3</v>
      </c>
      <c r="O127">
        <v>9.86</v>
      </c>
      <c r="P127">
        <v>3.69</v>
      </c>
      <c r="Q127">
        <v>1.1499999999999999</v>
      </c>
    </row>
    <row r="128" spans="1:17">
      <c r="A128" t="s">
        <v>610</v>
      </c>
      <c r="B128">
        <v>90</v>
      </c>
      <c r="C128">
        <v>11.5</v>
      </c>
      <c r="D128">
        <v>4.1399999999999997</v>
      </c>
      <c r="E128" s="24">
        <f t="shared" si="2"/>
        <v>17.321759999999998</v>
      </c>
      <c r="F128">
        <v>4.6929999999999996</v>
      </c>
      <c r="G128">
        <v>7.7</v>
      </c>
      <c r="H128">
        <v>3.1</v>
      </c>
      <c r="I128">
        <v>89.8</v>
      </c>
      <c r="J128">
        <v>94</v>
      </c>
      <c r="K128">
        <v>77.7</v>
      </c>
      <c r="L128">
        <v>4.5979999999999999</v>
      </c>
      <c r="M128">
        <v>1.1000000000000001</v>
      </c>
      <c r="N128">
        <v>56.77</v>
      </c>
      <c r="O128">
        <v>16.79</v>
      </c>
      <c r="P128">
        <v>5.62</v>
      </c>
      <c r="Q128">
        <v>1.48</v>
      </c>
    </row>
    <row r="129" spans="1:17">
      <c r="A129" t="s">
        <v>611</v>
      </c>
      <c r="B129">
        <v>31</v>
      </c>
      <c r="C129">
        <v>6.3</v>
      </c>
      <c r="D129">
        <v>2.4300000000000002</v>
      </c>
      <c r="E129" s="24">
        <f t="shared" si="2"/>
        <v>10.167120000000001</v>
      </c>
      <c r="G129">
        <v>2.1</v>
      </c>
      <c r="H129">
        <v>11.6</v>
      </c>
      <c r="I129">
        <v>63.2</v>
      </c>
      <c r="J129">
        <v>55</v>
      </c>
      <c r="K129">
        <v>80</v>
      </c>
      <c r="L129">
        <v>3.8730000000000002</v>
      </c>
      <c r="O129">
        <v>68</v>
      </c>
      <c r="P129">
        <v>55</v>
      </c>
      <c r="Q129">
        <v>7</v>
      </c>
    </row>
    <row r="130" spans="1:17">
      <c r="A130" t="s">
        <v>612</v>
      </c>
      <c r="B130">
        <v>29</v>
      </c>
      <c r="C130">
        <v>8.4</v>
      </c>
      <c r="D130">
        <v>2.73</v>
      </c>
      <c r="E130" s="24">
        <f t="shared" si="2"/>
        <v>11.422320000000001</v>
      </c>
      <c r="G130">
        <v>3</v>
      </c>
      <c r="H130">
        <v>7.2</v>
      </c>
      <c r="I130">
        <v>66.260000000000005</v>
      </c>
      <c r="J130">
        <v>62</v>
      </c>
      <c r="K130">
        <v>81.400000000000006</v>
      </c>
      <c r="L130">
        <v>4.1349999999999998</v>
      </c>
    </row>
    <row r="131" spans="1:17">
      <c r="A131" t="s">
        <v>613</v>
      </c>
      <c r="B131">
        <v>33</v>
      </c>
      <c r="C131">
        <v>8.1</v>
      </c>
      <c r="D131">
        <v>3.09</v>
      </c>
      <c r="E131" s="24">
        <f t="shared" si="2"/>
        <v>12.928559999999999</v>
      </c>
      <c r="G131">
        <v>3.1</v>
      </c>
      <c r="H131">
        <v>4.5</v>
      </c>
      <c r="I131">
        <v>72.88</v>
      </c>
      <c r="J131">
        <v>70</v>
      </c>
      <c r="K131">
        <v>84.3</v>
      </c>
      <c r="L131">
        <v>4.2480000000000002</v>
      </c>
      <c r="M131">
        <v>4.26</v>
      </c>
      <c r="N131">
        <v>32.58</v>
      </c>
      <c r="O131">
        <v>42.98</v>
      </c>
      <c r="P131">
        <v>25.46</v>
      </c>
      <c r="Q131">
        <v>3.17</v>
      </c>
    </row>
    <row r="132" spans="1:17">
      <c r="A132" t="s">
        <v>211</v>
      </c>
      <c r="B132">
        <v>58.94</v>
      </c>
      <c r="C132">
        <v>8.08</v>
      </c>
      <c r="D132">
        <v>3.61</v>
      </c>
      <c r="E132" s="24">
        <f t="shared" si="2"/>
        <v>15.104240000000001</v>
      </c>
      <c r="G132">
        <v>3.46</v>
      </c>
      <c r="H132">
        <v>1.99</v>
      </c>
      <c r="I132">
        <v>82.6</v>
      </c>
      <c r="J132">
        <v>82</v>
      </c>
      <c r="K132">
        <v>86.47</v>
      </c>
      <c r="L132">
        <v>4.37</v>
      </c>
      <c r="M132">
        <v>57.02</v>
      </c>
      <c r="O132">
        <v>23.28</v>
      </c>
      <c r="P132">
        <v>11.24</v>
      </c>
      <c r="Q132">
        <v>1.95</v>
      </c>
    </row>
    <row r="133" spans="1:17">
      <c r="A133" t="s">
        <v>212</v>
      </c>
      <c r="B133">
        <v>40.74</v>
      </c>
      <c r="C133">
        <v>6.81</v>
      </c>
      <c r="D133">
        <v>2.36</v>
      </c>
      <c r="E133" s="24">
        <f t="shared" si="2"/>
        <v>9.8742400000000004</v>
      </c>
      <c r="G133">
        <v>1.99</v>
      </c>
      <c r="H133">
        <v>12.15</v>
      </c>
      <c r="I133">
        <v>61.75</v>
      </c>
      <c r="J133">
        <v>53.6</v>
      </c>
      <c r="K133">
        <v>79.05</v>
      </c>
      <c r="L133">
        <v>3.8519999999999999</v>
      </c>
      <c r="M133">
        <v>5.98</v>
      </c>
      <c r="O133">
        <v>63.78</v>
      </c>
      <c r="P133">
        <v>45.61</v>
      </c>
      <c r="Q133">
        <v>6.12</v>
      </c>
    </row>
    <row r="134" spans="1:17">
      <c r="A134" t="s">
        <v>851</v>
      </c>
      <c r="B134">
        <f>AVERAGE(B129:B131)</f>
        <v>31</v>
      </c>
      <c r="C134">
        <f t="shared" ref="C134:Q134" si="3">AVERAGE(C129:C131)</f>
        <v>7.5999999999999988</v>
      </c>
      <c r="D134">
        <f t="shared" si="3"/>
        <v>2.75</v>
      </c>
      <c r="E134">
        <f t="shared" si="3"/>
        <v>11.506</v>
      </c>
      <c r="G134">
        <f t="shared" si="3"/>
        <v>2.7333333333333329</v>
      </c>
      <c r="H134">
        <f t="shared" si="3"/>
        <v>7.7666666666666666</v>
      </c>
      <c r="I134">
        <f t="shared" si="3"/>
        <v>67.446666666666673</v>
      </c>
      <c r="J134">
        <f t="shared" si="3"/>
        <v>62.333333333333336</v>
      </c>
      <c r="K134">
        <f t="shared" si="3"/>
        <v>81.899999999999991</v>
      </c>
      <c r="L134">
        <f t="shared" si="3"/>
        <v>4.0853333333333337</v>
      </c>
      <c r="M134">
        <f t="shared" si="3"/>
        <v>4.26</v>
      </c>
      <c r="N134">
        <f t="shared" si="3"/>
        <v>32.58</v>
      </c>
      <c r="O134">
        <f t="shared" si="3"/>
        <v>55.489999999999995</v>
      </c>
      <c r="P134">
        <f t="shared" si="3"/>
        <v>40.230000000000004</v>
      </c>
      <c r="Q134">
        <f t="shared" si="3"/>
        <v>5.085</v>
      </c>
    </row>
    <row r="135" spans="1:17">
      <c r="A135" t="s">
        <v>213</v>
      </c>
      <c r="B135">
        <v>60.07</v>
      </c>
      <c r="C135">
        <v>23.76</v>
      </c>
      <c r="D135">
        <v>3.92</v>
      </c>
      <c r="E135" s="24">
        <f t="shared" si="2"/>
        <v>16.40128</v>
      </c>
      <c r="G135">
        <v>4.6500000000000004</v>
      </c>
      <c r="H135">
        <v>6.4</v>
      </c>
      <c r="I135">
        <v>87.54</v>
      </c>
      <c r="J135">
        <v>89</v>
      </c>
      <c r="K135">
        <v>65.19</v>
      </c>
      <c r="L135">
        <v>4.4850000000000003</v>
      </c>
      <c r="O135">
        <v>26.75</v>
      </c>
      <c r="P135">
        <v>9.7899999999999991</v>
      </c>
    </row>
    <row r="136" spans="1:17">
      <c r="A136" t="s">
        <v>214</v>
      </c>
      <c r="B136">
        <v>43.76</v>
      </c>
      <c r="C136">
        <v>21.7</v>
      </c>
      <c r="D136">
        <v>3.79</v>
      </c>
      <c r="E136" s="24">
        <f t="shared" si="2"/>
        <v>15.85736</v>
      </c>
      <c r="G136">
        <v>4.29</v>
      </c>
      <c r="H136">
        <v>6.4</v>
      </c>
      <c r="I136">
        <v>85.61</v>
      </c>
      <c r="J136">
        <v>86</v>
      </c>
      <c r="K136">
        <v>67.61</v>
      </c>
      <c r="L136">
        <v>4.4349999999999996</v>
      </c>
      <c r="M136">
        <v>3.4</v>
      </c>
      <c r="N136">
        <v>15.23</v>
      </c>
      <c r="O136">
        <v>38.53</v>
      </c>
      <c r="P136">
        <v>11.78</v>
      </c>
      <c r="Q136">
        <v>1.6</v>
      </c>
    </row>
    <row r="137" spans="1:17">
      <c r="A137" t="s">
        <v>215</v>
      </c>
      <c r="B137">
        <v>88.92</v>
      </c>
      <c r="C137">
        <v>22.64</v>
      </c>
      <c r="D137">
        <v>3.53</v>
      </c>
      <c r="E137" s="24">
        <f t="shared" si="2"/>
        <v>14.76952</v>
      </c>
      <c r="G137">
        <v>3.32</v>
      </c>
      <c r="H137">
        <v>6.4</v>
      </c>
      <c r="I137">
        <v>80.47</v>
      </c>
      <c r="J137">
        <v>80</v>
      </c>
      <c r="K137">
        <v>67.64</v>
      </c>
      <c r="L137">
        <v>4.3979999999999997</v>
      </c>
      <c r="M137">
        <v>2.68</v>
      </c>
      <c r="N137">
        <v>16.920000000000002</v>
      </c>
      <c r="O137">
        <v>35.049999999999997</v>
      </c>
      <c r="P137">
        <v>11.18</v>
      </c>
      <c r="Q137">
        <v>1.86</v>
      </c>
    </row>
    <row r="138" spans="1:17">
      <c r="A138" t="s">
        <v>216</v>
      </c>
      <c r="B138">
        <v>90.59</v>
      </c>
      <c r="C138">
        <v>22.14</v>
      </c>
      <c r="D138">
        <v>3.46</v>
      </c>
      <c r="E138" s="24">
        <f t="shared" si="2"/>
        <v>14.47664</v>
      </c>
      <c r="G138">
        <v>11.5</v>
      </c>
      <c r="H138">
        <v>4.3099999999999996</v>
      </c>
      <c r="I138">
        <v>70.19</v>
      </c>
      <c r="J138">
        <v>78.599999999999994</v>
      </c>
      <c r="K138">
        <v>62.05</v>
      </c>
      <c r="L138">
        <v>4.907</v>
      </c>
      <c r="N138">
        <v>19.68</v>
      </c>
      <c r="O138">
        <v>39.409999999999997</v>
      </c>
      <c r="P138">
        <v>12.27</v>
      </c>
      <c r="Q138">
        <v>2.44</v>
      </c>
    </row>
    <row r="139" spans="1:17">
      <c r="A139" t="s">
        <v>217</v>
      </c>
      <c r="B139">
        <v>85.81</v>
      </c>
      <c r="C139">
        <v>6.07</v>
      </c>
      <c r="D139">
        <v>2.3199999999999998</v>
      </c>
      <c r="E139" s="24">
        <f t="shared" si="2"/>
        <v>9.70688</v>
      </c>
      <c r="G139">
        <v>1.44</v>
      </c>
      <c r="H139">
        <v>11.1</v>
      </c>
      <c r="I139">
        <v>60.63</v>
      </c>
      <c r="J139">
        <v>52.7</v>
      </c>
      <c r="K139">
        <v>81.39</v>
      </c>
      <c r="L139">
        <v>3.8559999999999999</v>
      </c>
      <c r="M139">
        <v>3.1</v>
      </c>
      <c r="N139">
        <v>10.8</v>
      </c>
      <c r="O139">
        <v>70.83</v>
      </c>
      <c r="P139">
        <v>46.75</v>
      </c>
      <c r="Q139">
        <v>6.31</v>
      </c>
    </row>
    <row r="140" spans="1:17">
      <c r="A140" t="s">
        <v>218</v>
      </c>
      <c r="B140">
        <v>87.22</v>
      </c>
      <c r="C140">
        <v>8.7899999999999991</v>
      </c>
      <c r="D140">
        <v>3.86</v>
      </c>
      <c r="E140" s="24">
        <f t="shared" si="2"/>
        <v>16.15024</v>
      </c>
      <c r="G140">
        <v>3.81</v>
      </c>
      <c r="H140">
        <v>1.44</v>
      </c>
      <c r="I140">
        <v>87.23</v>
      </c>
      <c r="J140">
        <v>87.6</v>
      </c>
      <c r="K140">
        <v>85.96</v>
      </c>
      <c r="L140">
        <v>4.4219999999999997</v>
      </c>
      <c r="M140">
        <v>1.81</v>
      </c>
      <c r="N140">
        <v>72.069999999999993</v>
      </c>
      <c r="O140">
        <v>9.7200000000000006</v>
      </c>
      <c r="P140">
        <v>3.56</v>
      </c>
      <c r="Q140">
        <v>1.18</v>
      </c>
    </row>
    <row r="141" spans="1:17">
      <c r="A141" t="s">
        <v>219</v>
      </c>
      <c r="B141">
        <v>46.41</v>
      </c>
      <c r="C141">
        <v>31.78</v>
      </c>
      <c r="D141">
        <v>4.32</v>
      </c>
      <c r="E141" s="24">
        <f t="shared" si="2"/>
        <v>18.07488</v>
      </c>
      <c r="F141" t="s">
        <v>220</v>
      </c>
      <c r="G141">
        <v>4.51</v>
      </c>
      <c r="H141">
        <v>11.29</v>
      </c>
      <c r="I141">
        <v>98.73</v>
      </c>
      <c r="J141">
        <v>98</v>
      </c>
      <c r="K141">
        <v>52.42</v>
      </c>
      <c r="L141">
        <v>4.3949999999999996</v>
      </c>
      <c r="M141">
        <v>15.03</v>
      </c>
      <c r="N141">
        <v>11.4</v>
      </c>
      <c r="O141">
        <v>3.55</v>
      </c>
      <c r="P141">
        <v>2.72</v>
      </c>
      <c r="Q141" t="s">
        <v>220</v>
      </c>
    </row>
    <row r="142" spans="1:17">
      <c r="A142" t="s">
        <v>614</v>
      </c>
      <c r="B142">
        <v>88.74</v>
      </c>
      <c r="C142">
        <v>10.27</v>
      </c>
      <c r="D142">
        <v>3.85</v>
      </c>
      <c r="E142" s="24">
        <f t="shared" si="2"/>
        <v>16.1084</v>
      </c>
      <c r="G142">
        <v>7.15</v>
      </c>
      <c r="H142">
        <v>2.64</v>
      </c>
      <c r="I142">
        <v>84.04</v>
      </c>
      <c r="J142">
        <v>87.2</v>
      </c>
      <c r="K142">
        <v>79.94</v>
      </c>
      <c r="L142">
        <v>4.57</v>
      </c>
      <c r="M142">
        <v>1.1000000000000001</v>
      </c>
      <c r="N142">
        <v>56.77</v>
      </c>
      <c r="O142">
        <v>16.79</v>
      </c>
      <c r="P142">
        <v>5.62</v>
      </c>
      <c r="Q142">
        <v>1.48</v>
      </c>
    </row>
    <row r="143" spans="1:17" ht="15">
      <c r="A143" s="202" t="s">
        <v>282</v>
      </c>
      <c r="B143" s="202"/>
      <c r="C143" s="202"/>
      <c r="D143" s="202"/>
      <c r="E143" s="202"/>
      <c r="F143" s="202"/>
      <c r="G143" s="202"/>
      <c r="H143" s="202"/>
      <c r="I143" s="202"/>
      <c r="J143" s="202"/>
      <c r="K143" s="202"/>
      <c r="L143" s="202"/>
      <c r="M143" s="202"/>
      <c r="N143" s="202"/>
      <c r="O143" s="202"/>
      <c r="P143" s="202"/>
      <c r="Q143" s="202"/>
    </row>
    <row r="144" spans="1:17">
      <c r="A144" t="s">
        <v>616</v>
      </c>
      <c r="B144">
        <v>77</v>
      </c>
      <c r="C144">
        <v>8.8000000000000007</v>
      </c>
      <c r="D144">
        <v>3.09</v>
      </c>
      <c r="E144" s="24">
        <f>D144*4.184</f>
        <v>12.928559999999999</v>
      </c>
      <c r="G144">
        <v>2.2999999999999998</v>
      </c>
      <c r="H144">
        <v>3.3</v>
      </c>
      <c r="I144">
        <v>72.56</v>
      </c>
      <c r="J144">
        <v>70</v>
      </c>
      <c r="K144">
        <v>85.6</v>
      </c>
      <c r="L144">
        <v>4.266</v>
      </c>
    </row>
    <row r="145" spans="1:17">
      <c r="A145" t="s">
        <v>615</v>
      </c>
      <c r="B145">
        <v>32</v>
      </c>
      <c r="C145">
        <v>7.7</v>
      </c>
      <c r="D145">
        <v>3.17</v>
      </c>
      <c r="E145" s="24">
        <f>D145*4.184</f>
        <v>13.26328</v>
      </c>
      <c r="G145">
        <v>5.2</v>
      </c>
      <c r="H145">
        <v>4.9000000000000004</v>
      </c>
      <c r="I145">
        <v>73.14</v>
      </c>
      <c r="J145">
        <v>72</v>
      </c>
      <c r="K145">
        <v>82.2</v>
      </c>
      <c r="L145">
        <v>4.335</v>
      </c>
    </row>
    <row r="146" spans="1:17" ht="15">
      <c r="A146" s="202" t="s">
        <v>283</v>
      </c>
      <c r="B146" s="202"/>
      <c r="C146" s="202"/>
      <c r="D146" s="202"/>
      <c r="E146" s="202"/>
      <c r="F146" s="202"/>
      <c r="G146" s="202"/>
      <c r="H146" s="202"/>
      <c r="I146" s="202"/>
      <c r="J146" s="202"/>
      <c r="K146" s="202"/>
      <c r="L146" s="202"/>
      <c r="M146" s="202"/>
      <c r="N146" s="202"/>
      <c r="O146" s="202"/>
      <c r="P146" s="202"/>
      <c r="Q146" s="202"/>
    </row>
    <row r="147" spans="1:17">
      <c r="A147" t="s">
        <v>617</v>
      </c>
      <c r="B147">
        <v>92</v>
      </c>
      <c r="C147">
        <v>11</v>
      </c>
      <c r="D147">
        <v>1.94</v>
      </c>
      <c r="E147" s="24">
        <f t="shared" ref="E147:E155" si="4">D147*4.184</f>
        <v>8.1169600000000006</v>
      </c>
      <c r="G147">
        <v>2.7</v>
      </c>
      <c r="H147">
        <v>7.7</v>
      </c>
      <c r="I147">
        <v>47.08</v>
      </c>
      <c r="J147">
        <v>44</v>
      </c>
      <c r="K147">
        <v>78.599999999999994</v>
      </c>
      <c r="L147">
        <v>4.1369999999999996</v>
      </c>
    </row>
    <row r="148" spans="1:17">
      <c r="A148" t="s">
        <v>618</v>
      </c>
      <c r="B148">
        <v>91.43</v>
      </c>
      <c r="C148">
        <v>6.68</v>
      </c>
      <c r="D148">
        <v>1.85</v>
      </c>
      <c r="E148" s="24">
        <f t="shared" si="4"/>
        <v>7.7404000000000011</v>
      </c>
      <c r="G148">
        <v>2.71</v>
      </c>
      <c r="H148">
        <v>3.62</v>
      </c>
      <c r="I148">
        <v>43.68</v>
      </c>
      <c r="J148">
        <v>42</v>
      </c>
      <c r="K148">
        <v>86.99</v>
      </c>
      <c r="L148">
        <v>4.242</v>
      </c>
      <c r="M148">
        <v>1.1299999999999999</v>
      </c>
      <c r="N148">
        <v>2.71</v>
      </c>
      <c r="O148">
        <v>81.069999999999993</v>
      </c>
      <c r="P148">
        <v>65.099999999999994</v>
      </c>
      <c r="Q148">
        <v>19.29</v>
      </c>
    </row>
    <row r="149" spans="1:17">
      <c r="A149" t="s">
        <v>619</v>
      </c>
      <c r="B149">
        <v>92.63</v>
      </c>
      <c r="C149">
        <v>22.87</v>
      </c>
      <c r="D149">
        <v>4.2300000000000004</v>
      </c>
      <c r="E149" s="24">
        <f t="shared" si="4"/>
        <v>17.698320000000002</v>
      </c>
      <c r="G149">
        <v>19.45</v>
      </c>
      <c r="H149">
        <v>4.12</v>
      </c>
      <c r="I149">
        <v>78.42</v>
      </c>
      <c r="J149">
        <v>96</v>
      </c>
      <c r="K149">
        <v>53.56</v>
      </c>
      <c r="L149">
        <v>5.343</v>
      </c>
      <c r="M149">
        <v>3.96</v>
      </c>
      <c r="N149">
        <v>2.2000000000000002</v>
      </c>
      <c r="O149">
        <v>47.82</v>
      </c>
      <c r="P149">
        <v>42.85</v>
      </c>
      <c r="Q149">
        <v>11.58</v>
      </c>
    </row>
    <row r="150" spans="1:17">
      <c r="A150" t="s">
        <v>620</v>
      </c>
      <c r="B150">
        <v>93</v>
      </c>
      <c r="C150">
        <v>44.3</v>
      </c>
      <c r="D150">
        <v>3.44</v>
      </c>
      <c r="E150" s="24">
        <f t="shared" si="4"/>
        <v>14.39296</v>
      </c>
      <c r="F150">
        <v>4.78</v>
      </c>
      <c r="G150">
        <v>5</v>
      </c>
      <c r="H150">
        <v>6.6</v>
      </c>
      <c r="I150">
        <v>71.709999999999994</v>
      </c>
      <c r="J150">
        <v>78</v>
      </c>
      <c r="K150">
        <v>44.1</v>
      </c>
      <c r="L150">
        <v>4.8029999999999999</v>
      </c>
      <c r="O150">
        <v>28</v>
      </c>
      <c r="P150">
        <v>20</v>
      </c>
      <c r="Q150">
        <v>6</v>
      </c>
    </row>
    <row r="151" spans="1:17">
      <c r="A151" t="s">
        <v>621</v>
      </c>
      <c r="B151">
        <v>91</v>
      </c>
      <c r="C151">
        <v>45.6</v>
      </c>
      <c r="D151">
        <v>3.53</v>
      </c>
      <c r="E151" s="24">
        <f t="shared" si="4"/>
        <v>14.76952</v>
      </c>
      <c r="F151">
        <v>4.6920000000000002</v>
      </c>
      <c r="G151">
        <v>1.3</v>
      </c>
      <c r="H151">
        <v>7</v>
      </c>
      <c r="I151">
        <v>76.88</v>
      </c>
      <c r="J151">
        <v>80</v>
      </c>
      <c r="K151">
        <v>46.1</v>
      </c>
      <c r="L151">
        <v>4.6120000000000001</v>
      </c>
      <c r="O151">
        <v>26</v>
      </c>
      <c r="P151">
        <v>19</v>
      </c>
      <c r="Q151">
        <v>6</v>
      </c>
    </row>
    <row r="152" spans="1:17">
      <c r="A152" t="s">
        <v>622</v>
      </c>
      <c r="B152">
        <v>91</v>
      </c>
      <c r="C152">
        <v>45.2</v>
      </c>
      <c r="D152">
        <v>3.35</v>
      </c>
      <c r="E152" s="24">
        <f t="shared" si="4"/>
        <v>14.016400000000001</v>
      </c>
      <c r="F152">
        <v>4.7050000000000001</v>
      </c>
      <c r="G152">
        <v>1.6</v>
      </c>
      <c r="H152">
        <v>7.1</v>
      </c>
      <c r="I152">
        <v>72.849999999999994</v>
      </c>
      <c r="J152">
        <v>76</v>
      </c>
      <c r="K152">
        <v>46.1</v>
      </c>
      <c r="L152">
        <v>4.617</v>
      </c>
      <c r="M152">
        <v>1.7</v>
      </c>
      <c r="N152">
        <v>3.93</v>
      </c>
      <c r="O152">
        <v>33.6</v>
      </c>
      <c r="P152">
        <v>23.67</v>
      </c>
      <c r="Q152">
        <v>8.51</v>
      </c>
    </row>
    <row r="153" spans="1:17">
      <c r="A153" t="s">
        <v>623</v>
      </c>
      <c r="B153">
        <v>93</v>
      </c>
      <c r="C153">
        <v>54</v>
      </c>
      <c r="D153">
        <v>3.31</v>
      </c>
      <c r="E153" s="24">
        <f t="shared" si="4"/>
        <v>13.84904</v>
      </c>
      <c r="G153">
        <v>1.4</v>
      </c>
      <c r="H153">
        <v>7.1</v>
      </c>
      <c r="I153">
        <v>70.14</v>
      </c>
      <c r="J153">
        <v>75</v>
      </c>
      <c r="K153">
        <v>37.5</v>
      </c>
      <c r="L153">
        <v>4.7389999999999999</v>
      </c>
    </row>
    <row r="154" spans="1:17">
      <c r="A154" t="s">
        <v>221</v>
      </c>
      <c r="B154">
        <v>90.55</v>
      </c>
      <c r="C154">
        <v>8.66</v>
      </c>
      <c r="D154">
        <v>1.99</v>
      </c>
      <c r="E154" s="24">
        <f t="shared" si="4"/>
        <v>8.3261599999999998</v>
      </c>
      <c r="G154">
        <v>2.48</v>
      </c>
      <c r="H154">
        <v>15.34</v>
      </c>
      <c r="I154">
        <v>53.25</v>
      </c>
      <c r="J154">
        <v>45.2</v>
      </c>
      <c r="K154">
        <v>73.52</v>
      </c>
      <c r="L154">
        <v>3.7730000000000001</v>
      </c>
      <c r="M154">
        <v>2.7</v>
      </c>
      <c r="N154">
        <v>6.03</v>
      </c>
      <c r="O154">
        <v>60.9</v>
      </c>
      <c r="P154">
        <v>55.93</v>
      </c>
      <c r="Q154">
        <v>16.600000000000001</v>
      </c>
    </row>
    <row r="155" spans="1:17">
      <c r="A155" t="s">
        <v>222</v>
      </c>
      <c r="B155">
        <v>90.87</v>
      </c>
      <c r="C155">
        <v>12.29</v>
      </c>
      <c r="D155">
        <v>2.14</v>
      </c>
      <c r="E155" s="24">
        <f t="shared" si="4"/>
        <v>8.9537600000000008</v>
      </c>
      <c r="G155">
        <v>3.64</v>
      </c>
      <c r="H155">
        <v>12.05</v>
      </c>
      <c r="I155">
        <v>53.49</v>
      </c>
      <c r="J155">
        <v>48.5</v>
      </c>
      <c r="K155">
        <v>72.02</v>
      </c>
      <c r="L155">
        <v>4.0250000000000004</v>
      </c>
      <c r="N155">
        <v>1.06</v>
      </c>
      <c r="O155">
        <v>60.57</v>
      </c>
      <c r="P155">
        <v>52.26</v>
      </c>
      <c r="Q155">
        <v>15.85</v>
      </c>
    </row>
    <row r="156" spans="1:17" ht="15">
      <c r="A156" s="202" t="s">
        <v>624</v>
      </c>
      <c r="B156" s="202"/>
      <c r="C156" s="202"/>
      <c r="D156" s="202"/>
      <c r="E156" s="202"/>
      <c r="F156" s="202"/>
      <c r="G156" s="202"/>
      <c r="H156" s="202"/>
      <c r="I156" s="202"/>
      <c r="J156" s="202"/>
      <c r="K156" s="202"/>
      <c r="L156" s="202"/>
      <c r="M156" s="202"/>
      <c r="N156" s="202"/>
      <c r="O156" s="202"/>
      <c r="P156" s="202"/>
      <c r="Q156" s="202"/>
    </row>
    <row r="157" spans="1:17">
      <c r="A157" t="s">
        <v>625</v>
      </c>
      <c r="B157">
        <v>90</v>
      </c>
      <c r="C157">
        <v>19.399999999999999</v>
      </c>
      <c r="D157">
        <v>2.6</v>
      </c>
      <c r="E157" s="24">
        <f>D157*4.184</f>
        <v>10.878400000000001</v>
      </c>
      <c r="G157">
        <v>3.1</v>
      </c>
      <c r="H157">
        <v>11.3</v>
      </c>
      <c r="I157">
        <v>63.25</v>
      </c>
      <c r="J157">
        <v>59</v>
      </c>
      <c r="K157">
        <v>66.2</v>
      </c>
      <c r="L157">
        <v>4.1349999999999998</v>
      </c>
    </row>
    <row r="158" spans="1:17" ht="15">
      <c r="A158" s="202" t="s">
        <v>626</v>
      </c>
      <c r="B158" s="202"/>
      <c r="C158" s="202"/>
      <c r="D158" s="202"/>
      <c r="E158" s="202"/>
      <c r="F158" s="202"/>
      <c r="G158" s="202"/>
      <c r="H158" s="202"/>
      <c r="I158" s="202"/>
      <c r="J158" s="202"/>
      <c r="K158" s="202"/>
      <c r="L158" s="202"/>
      <c r="M158" s="202"/>
      <c r="N158" s="202"/>
      <c r="O158" s="202"/>
      <c r="P158" s="202"/>
      <c r="Q158" s="202"/>
    </row>
    <row r="159" spans="1:17">
      <c r="A159" t="s">
        <v>627</v>
      </c>
      <c r="B159">
        <v>88</v>
      </c>
      <c r="C159">
        <v>5</v>
      </c>
      <c r="D159">
        <v>2.6</v>
      </c>
      <c r="E159" s="24">
        <f>D159*4.184</f>
        <v>10.878400000000001</v>
      </c>
      <c r="G159">
        <v>1.4</v>
      </c>
      <c r="H159">
        <v>6.3</v>
      </c>
      <c r="I159">
        <v>64.69</v>
      </c>
      <c r="J159">
        <v>59</v>
      </c>
      <c r="K159">
        <v>87.3</v>
      </c>
      <c r="L159">
        <v>4.0369999999999999</v>
      </c>
      <c r="Q159">
        <v>6</v>
      </c>
    </row>
    <row r="160" spans="1:17" ht="15">
      <c r="A160" s="202" t="s">
        <v>284</v>
      </c>
      <c r="B160" s="202"/>
      <c r="C160" s="202"/>
      <c r="D160" s="202"/>
      <c r="E160" s="202"/>
      <c r="F160" s="202"/>
      <c r="G160" s="202"/>
      <c r="H160" s="202"/>
      <c r="I160" s="202"/>
      <c r="J160" s="202"/>
      <c r="K160" s="202"/>
      <c r="L160" s="202"/>
      <c r="M160" s="202"/>
      <c r="N160" s="202"/>
      <c r="O160" s="202"/>
      <c r="P160" s="202"/>
      <c r="Q160" s="202"/>
    </row>
    <row r="161" spans="1:17">
      <c r="A161" t="s">
        <v>628</v>
      </c>
      <c r="B161">
        <v>99</v>
      </c>
      <c r="C161">
        <v>0</v>
      </c>
      <c r="D161">
        <v>7.8</v>
      </c>
      <c r="E161" s="24">
        <f>D161*4.184</f>
        <v>32.635199999999998</v>
      </c>
      <c r="G161">
        <v>99.5</v>
      </c>
      <c r="H161">
        <v>0</v>
      </c>
      <c r="I161">
        <v>80.290000000000006</v>
      </c>
      <c r="J161">
        <v>177</v>
      </c>
      <c r="K161">
        <v>0.5</v>
      </c>
      <c r="L161">
        <v>9.3740000000000006</v>
      </c>
      <c r="M161">
        <v>0</v>
      </c>
      <c r="N161">
        <v>0</v>
      </c>
      <c r="O161">
        <v>0</v>
      </c>
      <c r="P161">
        <v>0</v>
      </c>
      <c r="Q161">
        <v>0</v>
      </c>
    </row>
    <row r="162" spans="1:17">
      <c r="A162" t="s">
        <v>629</v>
      </c>
      <c r="B162">
        <v>99</v>
      </c>
      <c r="C162">
        <v>0</v>
      </c>
      <c r="D162">
        <v>7.8</v>
      </c>
      <c r="E162" s="24">
        <f>D162*4.184</f>
        <v>32.635199999999998</v>
      </c>
      <c r="G162">
        <v>100</v>
      </c>
      <c r="H162">
        <v>0</v>
      </c>
      <c r="I162">
        <v>80.06</v>
      </c>
      <c r="J162">
        <v>177</v>
      </c>
      <c r="K162">
        <v>0</v>
      </c>
      <c r="L162">
        <v>9.4</v>
      </c>
      <c r="M162">
        <v>0</v>
      </c>
      <c r="N162">
        <v>0</v>
      </c>
      <c r="O162">
        <v>0</v>
      </c>
      <c r="P162">
        <v>0</v>
      </c>
      <c r="Q162">
        <v>0</v>
      </c>
    </row>
    <row r="163" spans="1:17">
      <c r="A163" t="s">
        <v>630</v>
      </c>
      <c r="B163">
        <v>100</v>
      </c>
      <c r="C163">
        <v>0</v>
      </c>
      <c r="D163">
        <v>7.8</v>
      </c>
      <c r="E163" s="24">
        <f>D163*4.184</f>
        <v>32.635199999999998</v>
      </c>
      <c r="F163">
        <v>9.3960000000000008</v>
      </c>
      <c r="G163">
        <v>99.9</v>
      </c>
      <c r="H163">
        <v>0</v>
      </c>
      <c r="I163">
        <v>80.099999999999994</v>
      </c>
      <c r="J163">
        <v>177</v>
      </c>
      <c r="K163">
        <v>0.1</v>
      </c>
      <c r="L163">
        <v>9.3949999999999996</v>
      </c>
      <c r="M163">
        <v>0</v>
      </c>
      <c r="N163">
        <v>0</v>
      </c>
      <c r="O163">
        <v>0</v>
      </c>
      <c r="P163">
        <v>0</v>
      </c>
      <c r="Q163">
        <v>0</v>
      </c>
    </row>
    <row r="164" spans="1:17" ht="15">
      <c r="A164" s="202" t="s">
        <v>285</v>
      </c>
      <c r="B164" s="202"/>
      <c r="C164" s="202"/>
      <c r="D164" s="202"/>
      <c r="E164" s="202"/>
      <c r="F164" s="202"/>
      <c r="G164" s="202"/>
      <c r="H164" s="202"/>
      <c r="I164" s="202"/>
      <c r="J164" s="202"/>
      <c r="K164" s="202"/>
      <c r="L164" s="202"/>
      <c r="M164" s="202"/>
      <c r="N164" s="202"/>
      <c r="O164" s="202"/>
      <c r="P164" s="202"/>
      <c r="Q164" s="202"/>
    </row>
    <row r="165" spans="1:17">
      <c r="A165" t="s">
        <v>631</v>
      </c>
      <c r="B165">
        <v>91</v>
      </c>
      <c r="C165">
        <v>12.4</v>
      </c>
      <c r="D165">
        <v>2.69</v>
      </c>
      <c r="E165" s="24">
        <f>D165*4.184</f>
        <v>11.254960000000001</v>
      </c>
      <c r="G165">
        <v>3.4</v>
      </c>
      <c r="H165">
        <v>12</v>
      </c>
      <c r="I165">
        <v>67.39</v>
      </c>
      <c r="J165">
        <v>61</v>
      </c>
      <c r="K165">
        <v>72.2</v>
      </c>
      <c r="L165">
        <v>4.0170000000000003</v>
      </c>
      <c r="O165">
        <v>57</v>
      </c>
      <c r="P165">
        <v>32</v>
      </c>
      <c r="Q165">
        <v>3</v>
      </c>
    </row>
    <row r="166" spans="1:17">
      <c r="A166" t="s">
        <v>632</v>
      </c>
      <c r="B166">
        <v>92</v>
      </c>
      <c r="C166">
        <v>9.5</v>
      </c>
      <c r="D166">
        <v>2.12</v>
      </c>
      <c r="E166" s="24">
        <f>D166*4.184</f>
        <v>8.8700800000000015</v>
      </c>
      <c r="G166">
        <v>2</v>
      </c>
      <c r="H166">
        <v>10</v>
      </c>
      <c r="I166">
        <v>53.57</v>
      </c>
      <c r="J166">
        <v>48</v>
      </c>
      <c r="K166">
        <v>78.5</v>
      </c>
      <c r="L166">
        <v>3.9830000000000001</v>
      </c>
      <c r="O166">
        <v>72</v>
      </c>
      <c r="P166">
        <v>39</v>
      </c>
      <c r="Q166">
        <v>5</v>
      </c>
    </row>
    <row r="167" spans="1:17" ht="15">
      <c r="A167" s="202" t="s">
        <v>286</v>
      </c>
      <c r="B167" s="202"/>
      <c r="C167" s="202"/>
      <c r="D167" s="202"/>
      <c r="E167" s="202"/>
      <c r="F167" s="202"/>
      <c r="G167" s="202"/>
      <c r="H167" s="202"/>
      <c r="I167" s="202"/>
      <c r="J167" s="202"/>
      <c r="K167" s="202"/>
      <c r="L167" s="202"/>
      <c r="M167" s="202"/>
      <c r="N167" s="202"/>
      <c r="O167" s="202"/>
      <c r="P167" s="202"/>
      <c r="Q167" s="202"/>
    </row>
    <row r="168" spans="1:17">
      <c r="A168" t="s">
        <v>223</v>
      </c>
      <c r="B168">
        <v>92.3</v>
      </c>
      <c r="C168">
        <v>66.239999999999995</v>
      </c>
      <c r="D168">
        <v>3.61</v>
      </c>
      <c r="E168" s="24">
        <f>D168*4.184</f>
        <v>15.104240000000001</v>
      </c>
      <c r="G168">
        <v>11.89</v>
      </c>
      <c r="H168">
        <v>20.02</v>
      </c>
      <c r="I168">
        <v>73.349999999999994</v>
      </c>
      <c r="J168">
        <v>81.900000000000006</v>
      </c>
      <c r="K168">
        <v>1.85</v>
      </c>
      <c r="L168">
        <v>4.9370000000000003</v>
      </c>
      <c r="N168">
        <v>5.82</v>
      </c>
      <c r="O168">
        <v>13.6</v>
      </c>
      <c r="P168">
        <v>3.14</v>
      </c>
    </row>
    <row r="169" spans="1:17" ht="15">
      <c r="A169" s="202" t="s">
        <v>633</v>
      </c>
      <c r="B169" s="202"/>
      <c r="C169" s="202"/>
      <c r="D169" s="202"/>
      <c r="E169" s="202"/>
      <c r="F169" s="202"/>
      <c r="G169" s="202"/>
      <c r="H169" s="202"/>
      <c r="I169" s="202"/>
      <c r="J169" s="202"/>
      <c r="K169" s="202"/>
      <c r="L169" s="202"/>
      <c r="M169" s="202"/>
      <c r="N169" s="202"/>
      <c r="O169" s="202"/>
      <c r="P169" s="202"/>
      <c r="Q169" s="202"/>
    </row>
    <row r="170" spans="1:17">
      <c r="A170" t="s">
        <v>634</v>
      </c>
      <c r="B170">
        <v>91</v>
      </c>
      <c r="C170">
        <v>18.2</v>
      </c>
      <c r="D170">
        <v>2.82</v>
      </c>
      <c r="E170" s="24">
        <f>D170*4.184</f>
        <v>11.79888</v>
      </c>
      <c r="G170">
        <v>10.199999999999999</v>
      </c>
      <c r="H170">
        <v>6.8</v>
      </c>
      <c r="I170">
        <v>60.15</v>
      </c>
      <c r="J170">
        <v>64</v>
      </c>
      <c r="K170">
        <v>64.8</v>
      </c>
      <c r="L170">
        <v>4.6760000000000002</v>
      </c>
    </row>
    <row r="171" spans="1:17">
      <c r="A171" t="s">
        <v>635</v>
      </c>
      <c r="B171">
        <v>91</v>
      </c>
      <c r="C171">
        <v>37.9</v>
      </c>
      <c r="D171">
        <v>3.62</v>
      </c>
      <c r="E171" s="24">
        <f>D171*4.184</f>
        <v>15.146080000000001</v>
      </c>
      <c r="G171">
        <v>6</v>
      </c>
      <c r="H171">
        <v>6.3</v>
      </c>
      <c r="I171">
        <v>75.89</v>
      </c>
      <c r="J171">
        <v>82</v>
      </c>
      <c r="K171">
        <v>49.8</v>
      </c>
      <c r="L171">
        <v>4.7720000000000002</v>
      </c>
      <c r="O171">
        <v>25</v>
      </c>
      <c r="P171">
        <v>17</v>
      </c>
      <c r="Q171">
        <v>7</v>
      </c>
    </row>
    <row r="172" spans="1:17">
      <c r="A172" t="s">
        <v>636</v>
      </c>
      <c r="B172">
        <v>90</v>
      </c>
      <c r="C172">
        <v>38.299999999999997</v>
      </c>
      <c r="D172">
        <v>3.44</v>
      </c>
      <c r="E172" s="24">
        <f>D172*4.184</f>
        <v>14.39296</v>
      </c>
      <c r="G172">
        <v>1.5</v>
      </c>
      <c r="H172">
        <v>6.5</v>
      </c>
      <c r="I172">
        <v>76.180000000000007</v>
      </c>
      <c r="J172">
        <v>78</v>
      </c>
      <c r="K172">
        <v>53.7</v>
      </c>
      <c r="L172">
        <v>4.5339999999999998</v>
      </c>
      <c r="O172">
        <v>25</v>
      </c>
      <c r="P172">
        <v>19</v>
      </c>
      <c r="Q172">
        <v>6</v>
      </c>
    </row>
    <row r="173" spans="1:17">
      <c r="A173" t="s">
        <v>224</v>
      </c>
      <c r="B173">
        <v>91.63</v>
      </c>
      <c r="C173">
        <v>28.68</v>
      </c>
      <c r="D173">
        <v>3.6</v>
      </c>
      <c r="E173" s="24">
        <f>D173*4.184</f>
        <v>15.0624</v>
      </c>
      <c r="G173">
        <v>27.67</v>
      </c>
      <c r="H173">
        <v>5.12</v>
      </c>
      <c r="I173">
        <v>61.04</v>
      </c>
      <c r="J173">
        <v>81.599999999999994</v>
      </c>
      <c r="K173">
        <v>38.53</v>
      </c>
      <c r="L173">
        <v>5.82</v>
      </c>
      <c r="N173">
        <v>1.98</v>
      </c>
      <c r="O173">
        <v>31.84</v>
      </c>
      <c r="P173">
        <v>18.940000000000001</v>
      </c>
      <c r="Q173">
        <v>5.75</v>
      </c>
    </row>
    <row r="174" spans="1:17" ht="15">
      <c r="A174" s="202" t="s">
        <v>287</v>
      </c>
      <c r="B174" s="202"/>
      <c r="C174" s="202"/>
      <c r="D174" s="202"/>
      <c r="E174" s="202"/>
      <c r="F174" s="202"/>
      <c r="G174" s="202"/>
      <c r="H174" s="202"/>
      <c r="I174" s="202"/>
      <c r="J174" s="202"/>
      <c r="K174" s="202"/>
      <c r="L174" s="202"/>
      <c r="M174" s="202"/>
      <c r="N174" s="202"/>
      <c r="O174" s="202"/>
      <c r="P174" s="202"/>
      <c r="Q174" s="202"/>
    </row>
    <row r="175" spans="1:17">
      <c r="A175" t="s">
        <v>637</v>
      </c>
      <c r="B175">
        <v>71</v>
      </c>
      <c r="C175">
        <v>5.5</v>
      </c>
      <c r="D175">
        <v>2.12</v>
      </c>
      <c r="E175" s="24">
        <f>D175*4.184</f>
        <v>8.8700800000000015</v>
      </c>
      <c r="G175">
        <v>1.8</v>
      </c>
      <c r="H175">
        <v>16.2</v>
      </c>
      <c r="I175">
        <v>58.67</v>
      </c>
      <c r="J175">
        <v>48</v>
      </c>
      <c r="K175">
        <v>76.5</v>
      </c>
      <c r="L175">
        <v>3.6549999999999998</v>
      </c>
    </row>
    <row r="176" spans="1:17">
      <c r="A176" t="s">
        <v>638</v>
      </c>
      <c r="B176">
        <v>80.25</v>
      </c>
      <c r="C176">
        <v>0.84</v>
      </c>
      <c r="D176">
        <v>3.04</v>
      </c>
      <c r="E176" s="24">
        <f>D176*4.184</f>
        <v>12.71936</v>
      </c>
      <c r="G176">
        <v>6.24</v>
      </c>
      <c r="H176">
        <v>6.69</v>
      </c>
      <c r="I176">
        <v>72.2</v>
      </c>
      <c r="J176">
        <v>69</v>
      </c>
      <c r="K176">
        <v>86.23</v>
      </c>
      <c r="L176">
        <v>4.2130000000000001</v>
      </c>
      <c r="M176">
        <v>1.4</v>
      </c>
      <c r="N176">
        <v>0.4</v>
      </c>
      <c r="O176">
        <v>0.3</v>
      </c>
      <c r="P176">
        <v>0.2</v>
      </c>
    </row>
    <row r="177" spans="1:17" ht="15">
      <c r="A177" s="202" t="s">
        <v>288</v>
      </c>
      <c r="B177" s="202"/>
      <c r="C177" s="202"/>
      <c r="D177" s="202"/>
      <c r="E177" s="202"/>
      <c r="F177" s="202"/>
      <c r="G177" s="202"/>
      <c r="H177" s="202"/>
      <c r="I177" s="202"/>
      <c r="J177" s="202"/>
      <c r="K177" s="202"/>
      <c r="L177" s="202"/>
      <c r="M177" s="202"/>
      <c r="N177" s="202"/>
      <c r="O177" s="202"/>
      <c r="P177" s="202"/>
      <c r="Q177" s="202"/>
    </row>
    <row r="178" spans="1:17">
      <c r="A178" t="s">
        <v>639</v>
      </c>
      <c r="B178">
        <v>41</v>
      </c>
      <c r="C178">
        <v>13.1</v>
      </c>
      <c r="D178">
        <v>2.65</v>
      </c>
      <c r="E178" s="24">
        <f>D178*4.184</f>
        <v>11.0876</v>
      </c>
      <c r="G178">
        <v>2</v>
      </c>
      <c r="H178">
        <v>11.3</v>
      </c>
      <c r="I178">
        <v>67.02</v>
      </c>
      <c r="J178">
        <v>60</v>
      </c>
      <c r="K178">
        <v>73.599999999999994</v>
      </c>
      <c r="L178">
        <v>3.9830000000000001</v>
      </c>
    </row>
    <row r="179" spans="1:17">
      <c r="A179" t="s">
        <v>640</v>
      </c>
      <c r="B179">
        <v>63</v>
      </c>
      <c r="C179">
        <v>6.5</v>
      </c>
      <c r="D179">
        <v>2.4300000000000002</v>
      </c>
      <c r="E179" s="24">
        <f>D179*4.184</f>
        <v>10.167120000000001</v>
      </c>
      <c r="G179">
        <v>1.7</v>
      </c>
      <c r="H179">
        <v>11.4</v>
      </c>
      <c r="I179">
        <v>63.38</v>
      </c>
      <c r="J179">
        <v>55</v>
      </c>
      <c r="K179">
        <v>80.400000000000006</v>
      </c>
      <c r="L179">
        <v>3.8639999999999999</v>
      </c>
    </row>
    <row r="180" spans="1:17" ht="15">
      <c r="A180" s="202" t="s">
        <v>289</v>
      </c>
      <c r="B180" s="202"/>
      <c r="C180" s="202"/>
      <c r="D180" s="202"/>
      <c r="E180" s="202"/>
      <c r="F180" s="202"/>
      <c r="G180" s="202"/>
      <c r="H180" s="202"/>
      <c r="I180" s="202"/>
      <c r="J180" s="202"/>
      <c r="K180" s="202"/>
      <c r="L180" s="202"/>
      <c r="M180" s="202"/>
      <c r="N180" s="202"/>
      <c r="O180" s="202"/>
      <c r="P180" s="202"/>
      <c r="Q180" s="202"/>
    </row>
    <row r="181" spans="1:17">
      <c r="A181" t="s">
        <v>641</v>
      </c>
      <c r="B181">
        <v>91.81</v>
      </c>
      <c r="C181">
        <v>12.27</v>
      </c>
      <c r="D181">
        <v>2.0699999999999998</v>
      </c>
      <c r="E181" s="24">
        <f>D181*4.184</f>
        <v>8.6608799999999988</v>
      </c>
      <c r="G181">
        <v>8.8699999999999992</v>
      </c>
      <c r="H181">
        <v>9.65</v>
      </c>
      <c r="I181">
        <v>47.05</v>
      </c>
      <c r="J181">
        <v>27</v>
      </c>
      <c r="K181">
        <v>69.209999999999994</v>
      </c>
      <c r="L181">
        <v>4.399</v>
      </c>
      <c r="N181">
        <v>0.97</v>
      </c>
      <c r="O181">
        <v>51.78</v>
      </c>
      <c r="P181">
        <v>46.28</v>
      </c>
      <c r="Q181">
        <v>31.91</v>
      </c>
    </row>
    <row r="182" spans="1:17">
      <c r="A182" t="s">
        <v>642</v>
      </c>
      <c r="B182">
        <v>41.88</v>
      </c>
      <c r="C182">
        <v>11.69</v>
      </c>
      <c r="D182">
        <v>2.4700000000000002</v>
      </c>
      <c r="E182" s="24">
        <f>D182*4.184</f>
        <v>10.334480000000001</v>
      </c>
      <c r="G182">
        <v>8.9499999999999993</v>
      </c>
      <c r="H182">
        <v>15.11</v>
      </c>
      <c r="I182">
        <v>59.45</v>
      </c>
      <c r="J182">
        <v>28</v>
      </c>
      <c r="K182">
        <v>64.25</v>
      </c>
      <c r="L182">
        <v>4.1680000000000001</v>
      </c>
      <c r="N182">
        <v>0.99</v>
      </c>
      <c r="O182">
        <v>50.06</v>
      </c>
      <c r="P182">
        <v>43.43</v>
      </c>
      <c r="Q182">
        <v>27.6</v>
      </c>
    </row>
    <row r="183" spans="1:17">
      <c r="A183" t="s">
        <v>643</v>
      </c>
      <c r="B183">
        <v>76</v>
      </c>
      <c r="C183">
        <v>0.7</v>
      </c>
      <c r="D183">
        <v>2.65</v>
      </c>
      <c r="E183" s="24">
        <f>D183*4.184</f>
        <v>11.0876</v>
      </c>
      <c r="G183">
        <v>0.4</v>
      </c>
      <c r="H183">
        <v>4.0999999999999996</v>
      </c>
      <c r="I183">
        <v>66.319999999999993</v>
      </c>
      <c r="J183">
        <v>60</v>
      </c>
      <c r="K183">
        <v>94.8</v>
      </c>
      <c r="L183">
        <v>4.0110000000000001</v>
      </c>
    </row>
    <row r="184" spans="1:17" ht="15">
      <c r="A184" s="202" t="s">
        <v>290</v>
      </c>
      <c r="B184" s="202"/>
      <c r="C184" s="202"/>
      <c r="D184" s="202"/>
      <c r="E184" s="202"/>
      <c r="F184" s="202"/>
      <c r="G184" s="202"/>
      <c r="H184" s="202"/>
      <c r="I184" s="202"/>
      <c r="J184" s="202"/>
      <c r="K184" s="202"/>
      <c r="L184" s="202"/>
      <c r="M184" s="202"/>
      <c r="N184" s="202"/>
      <c r="O184" s="202"/>
      <c r="P184" s="202"/>
      <c r="Q184" s="202"/>
    </row>
    <row r="185" spans="1:17">
      <c r="A185" t="s">
        <v>644</v>
      </c>
      <c r="B185">
        <v>32</v>
      </c>
      <c r="C185">
        <v>16.399999999999999</v>
      </c>
      <c r="D185">
        <v>2.6</v>
      </c>
      <c r="E185" s="24">
        <f>D185*4.184</f>
        <v>10.878400000000001</v>
      </c>
      <c r="J185">
        <v>59</v>
      </c>
      <c r="K185">
        <v>83.6</v>
      </c>
      <c r="L185">
        <v>4.3959999999999999</v>
      </c>
    </row>
    <row r="186" spans="1:17">
      <c r="A186" t="s">
        <v>645</v>
      </c>
      <c r="B186">
        <v>28</v>
      </c>
      <c r="C186">
        <v>16.399999999999999</v>
      </c>
      <c r="D186">
        <v>2.4300000000000002</v>
      </c>
      <c r="E186" s="24">
        <f>D186*4.184</f>
        <v>10.167120000000001</v>
      </c>
      <c r="J186">
        <v>55</v>
      </c>
      <c r="K186">
        <v>83.6</v>
      </c>
      <c r="L186">
        <v>4.3959999999999999</v>
      </c>
    </row>
    <row r="187" spans="1:17">
      <c r="A187" t="s">
        <v>646</v>
      </c>
      <c r="B187">
        <v>93</v>
      </c>
      <c r="C187">
        <v>15.5</v>
      </c>
      <c r="D187">
        <v>2.4300000000000002</v>
      </c>
      <c r="E187" s="24">
        <f>D187*4.184</f>
        <v>10.167120000000001</v>
      </c>
      <c r="J187">
        <v>55</v>
      </c>
      <c r="K187">
        <v>84.5</v>
      </c>
      <c r="L187">
        <v>4.383</v>
      </c>
    </row>
    <row r="188" spans="1:17">
      <c r="A188" t="s">
        <v>647</v>
      </c>
      <c r="B188">
        <v>93</v>
      </c>
      <c r="C188">
        <v>14.5</v>
      </c>
      <c r="D188">
        <v>2.21</v>
      </c>
      <c r="E188" s="24">
        <f>D188*4.184</f>
        <v>9.2466400000000011</v>
      </c>
      <c r="J188">
        <v>50</v>
      </c>
      <c r="K188">
        <v>85.5</v>
      </c>
      <c r="L188">
        <v>4.3680000000000003</v>
      </c>
    </row>
    <row r="189" spans="1:17">
      <c r="A189" t="s">
        <v>648</v>
      </c>
      <c r="B189">
        <v>93</v>
      </c>
      <c r="C189">
        <v>13.4</v>
      </c>
      <c r="D189">
        <v>2.0699999999999998</v>
      </c>
      <c r="E189" s="24">
        <f>D189*4.184</f>
        <v>8.6608799999999988</v>
      </c>
      <c r="J189">
        <v>47</v>
      </c>
      <c r="K189">
        <v>86.6</v>
      </c>
      <c r="L189">
        <v>4.351</v>
      </c>
    </row>
    <row r="190" spans="1:17" ht="15">
      <c r="A190" s="202" t="s">
        <v>291</v>
      </c>
      <c r="B190" s="202"/>
      <c r="C190" s="202"/>
      <c r="D190" s="202"/>
      <c r="E190" s="202"/>
      <c r="F190" s="202"/>
      <c r="G190" s="202"/>
      <c r="H190" s="202"/>
      <c r="I190" s="202"/>
      <c r="J190" s="202"/>
      <c r="K190" s="202"/>
      <c r="L190" s="202"/>
      <c r="M190" s="202"/>
      <c r="N190" s="202"/>
      <c r="O190" s="202"/>
      <c r="P190" s="202"/>
      <c r="Q190" s="202"/>
    </row>
    <row r="191" spans="1:17">
      <c r="A191" t="s">
        <v>504</v>
      </c>
      <c r="B191">
        <v>97</v>
      </c>
      <c r="C191">
        <v>0.5</v>
      </c>
      <c r="D191">
        <v>0.35</v>
      </c>
      <c r="E191" s="24">
        <f>D191*4.184</f>
        <v>1.4643999999999999</v>
      </c>
      <c r="G191">
        <v>0.5</v>
      </c>
      <c r="H191">
        <v>4</v>
      </c>
      <c r="I191">
        <v>8.74</v>
      </c>
      <c r="J191">
        <v>8</v>
      </c>
      <c r="K191">
        <v>95</v>
      </c>
      <c r="L191">
        <v>4.0179999999999998</v>
      </c>
      <c r="Q191">
        <v>76</v>
      </c>
    </row>
    <row r="192" spans="1:17" ht="15">
      <c r="A192" s="202" t="s">
        <v>292</v>
      </c>
      <c r="B192" s="202"/>
      <c r="C192" s="202"/>
      <c r="D192" s="202"/>
      <c r="E192" s="202"/>
      <c r="F192" s="202"/>
      <c r="G192" s="202"/>
      <c r="H192" s="202"/>
      <c r="I192" s="202"/>
      <c r="J192" s="202"/>
      <c r="K192" s="202"/>
      <c r="L192" s="202"/>
      <c r="M192" s="202"/>
      <c r="N192" s="202"/>
      <c r="O192" s="202"/>
      <c r="P192" s="202"/>
      <c r="Q192" s="202"/>
    </row>
    <row r="193" spans="1:17">
      <c r="A193" t="s">
        <v>226</v>
      </c>
      <c r="B193">
        <v>90.47</v>
      </c>
      <c r="C193">
        <v>36.93</v>
      </c>
      <c r="D193">
        <v>3.24</v>
      </c>
      <c r="E193" s="24">
        <f>D193*4.184</f>
        <v>13.556160000000002</v>
      </c>
      <c r="G193">
        <v>11.96</v>
      </c>
      <c r="H193">
        <v>6.18</v>
      </c>
      <c r="I193">
        <v>63.59</v>
      </c>
      <c r="J193">
        <v>73.599999999999994</v>
      </c>
      <c r="K193">
        <v>44.93</v>
      </c>
      <c r="L193">
        <v>5.0750000000000002</v>
      </c>
      <c r="N193">
        <v>2.54</v>
      </c>
      <c r="O193">
        <v>32.1</v>
      </c>
      <c r="P193">
        <v>17.28</v>
      </c>
      <c r="Q193">
        <v>5.72</v>
      </c>
    </row>
    <row r="194" spans="1:17" ht="15">
      <c r="A194" s="202" t="s">
        <v>293</v>
      </c>
      <c r="B194" s="202"/>
      <c r="C194" s="202"/>
      <c r="D194" s="202"/>
      <c r="E194" s="202"/>
      <c r="F194" s="202"/>
      <c r="G194" s="202"/>
      <c r="H194" s="202"/>
      <c r="I194" s="202"/>
      <c r="J194" s="202"/>
      <c r="K194" s="202"/>
      <c r="L194" s="202"/>
      <c r="M194" s="202"/>
      <c r="N194" s="202"/>
      <c r="O194" s="202"/>
      <c r="P194" s="202"/>
      <c r="Q194" s="202"/>
    </row>
    <row r="195" spans="1:17">
      <c r="A195" t="s">
        <v>505</v>
      </c>
      <c r="B195">
        <v>95</v>
      </c>
      <c r="C195">
        <v>8.6999999999999993</v>
      </c>
      <c r="D195">
        <v>2.56</v>
      </c>
      <c r="E195" s="24">
        <f>D195*4.184</f>
        <v>10.711040000000001</v>
      </c>
      <c r="G195">
        <v>2.5</v>
      </c>
      <c r="H195">
        <v>8.5</v>
      </c>
      <c r="I195">
        <v>63.37</v>
      </c>
      <c r="J195">
        <v>58</v>
      </c>
      <c r="K195">
        <v>80.3</v>
      </c>
      <c r="L195">
        <v>4.0590000000000002</v>
      </c>
      <c r="M195">
        <v>13.95</v>
      </c>
      <c r="O195">
        <v>60.85</v>
      </c>
      <c r="P195">
        <v>35.79</v>
      </c>
    </row>
    <row r="196" spans="1:17" ht="15">
      <c r="A196" s="202" t="s">
        <v>649</v>
      </c>
      <c r="B196" s="202"/>
      <c r="C196" s="202"/>
      <c r="D196" s="202"/>
      <c r="E196" s="202"/>
      <c r="F196" s="202"/>
      <c r="G196" s="202"/>
      <c r="H196" s="202"/>
      <c r="I196" s="202"/>
      <c r="J196" s="202"/>
      <c r="K196" s="202"/>
      <c r="L196" s="202"/>
      <c r="M196" s="202"/>
      <c r="N196" s="202"/>
      <c r="O196" s="202"/>
      <c r="P196" s="202"/>
      <c r="Q196" s="202"/>
    </row>
    <row r="197" spans="1:17">
      <c r="A197" t="s">
        <v>650</v>
      </c>
      <c r="B197">
        <v>28</v>
      </c>
      <c r="C197">
        <v>9.5</v>
      </c>
      <c r="D197">
        <v>2.78</v>
      </c>
      <c r="E197" s="24">
        <f>D197*4.184</f>
        <v>11.63152</v>
      </c>
      <c r="G197">
        <v>3.1</v>
      </c>
      <c r="H197">
        <v>8.6999999999999993</v>
      </c>
      <c r="I197">
        <v>68.2</v>
      </c>
      <c r="J197">
        <v>63</v>
      </c>
      <c r="K197">
        <v>78.7</v>
      </c>
      <c r="L197">
        <v>4.0940000000000003</v>
      </c>
      <c r="M197">
        <v>7.89</v>
      </c>
      <c r="N197">
        <v>2.69</v>
      </c>
      <c r="O197">
        <v>65.28</v>
      </c>
      <c r="P197">
        <v>34.53</v>
      </c>
      <c r="Q197">
        <v>7.13</v>
      </c>
    </row>
    <row r="198" spans="1:17">
      <c r="A198" t="s">
        <v>651</v>
      </c>
      <c r="B198">
        <v>86.7</v>
      </c>
      <c r="C198">
        <v>11.27</v>
      </c>
      <c r="D198">
        <v>3.36</v>
      </c>
      <c r="E198" s="24">
        <f>D198*4.184</f>
        <v>14.05824</v>
      </c>
      <c r="G198">
        <v>3.46</v>
      </c>
      <c r="H198">
        <v>5.34</v>
      </c>
      <c r="I198">
        <v>78.67</v>
      </c>
      <c r="J198">
        <v>85</v>
      </c>
      <c r="K198">
        <v>79.930000000000007</v>
      </c>
      <c r="L198">
        <v>4.2789999999999999</v>
      </c>
      <c r="M198">
        <v>3.7</v>
      </c>
      <c r="N198">
        <v>49.27</v>
      </c>
      <c r="O198">
        <v>21.61</v>
      </c>
      <c r="P198">
        <v>13.88</v>
      </c>
      <c r="Q198">
        <v>3.21</v>
      </c>
    </row>
    <row r="199" spans="1:17">
      <c r="A199" t="s">
        <v>652</v>
      </c>
      <c r="B199">
        <v>87</v>
      </c>
      <c r="C199">
        <v>8.6</v>
      </c>
      <c r="D199">
        <v>2.6</v>
      </c>
      <c r="E199" s="24">
        <f>D199*4.184</f>
        <v>10.878400000000001</v>
      </c>
      <c r="G199">
        <v>2.9</v>
      </c>
      <c r="H199">
        <v>8.6</v>
      </c>
      <c r="I199">
        <v>64.099999999999994</v>
      </c>
      <c r="J199">
        <v>59</v>
      </c>
      <c r="K199">
        <v>79.900000000000006</v>
      </c>
      <c r="L199">
        <v>4.0739999999999998</v>
      </c>
      <c r="M199">
        <v>5.64</v>
      </c>
      <c r="N199">
        <v>3.15</v>
      </c>
      <c r="O199">
        <v>60.3</v>
      </c>
      <c r="P199">
        <v>42.03</v>
      </c>
      <c r="Q199">
        <v>5.73</v>
      </c>
    </row>
    <row r="200" spans="1:17" ht="15">
      <c r="A200" s="202" t="s">
        <v>653</v>
      </c>
      <c r="B200" s="202"/>
      <c r="C200" s="202"/>
      <c r="D200" s="202"/>
      <c r="E200" s="202"/>
      <c r="F200" s="202"/>
      <c r="G200" s="202"/>
      <c r="H200" s="202"/>
      <c r="I200" s="202"/>
      <c r="J200" s="202"/>
      <c r="K200" s="202"/>
      <c r="L200" s="202"/>
      <c r="M200" s="202"/>
      <c r="N200" s="202"/>
      <c r="O200" s="202"/>
      <c r="P200" s="202"/>
      <c r="Q200" s="202"/>
    </row>
    <row r="201" spans="1:17">
      <c r="A201" t="s">
        <v>654</v>
      </c>
      <c r="B201">
        <v>90</v>
      </c>
      <c r="C201">
        <v>12.9</v>
      </c>
      <c r="D201">
        <v>3.7</v>
      </c>
      <c r="E201" s="24">
        <f>D201*4.184</f>
        <v>15.480800000000002</v>
      </c>
      <c r="G201">
        <v>3.9</v>
      </c>
      <c r="H201">
        <v>2.9</v>
      </c>
      <c r="I201">
        <v>83.57</v>
      </c>
      <c r="J201">
        <v>84</v>
      </c>
      <c r="K201">
        <v>80.3</v>
      </c>
      <c r="L201">
        <v>4.4279999999999999</v>
      </c>
      <c r="M201">
        <v>3.7</v>
      </c>
      <c r="N201">
        <v>45.45</v>
      </c>
      <c r="O201">
        <v>23.16</v>
      </c>
      <c r="P201">
        <v>14.54</v>
      </c>
      <c r="Q201">
        <v>3.8</v>
      </c>
    </row>
    <row r="202" spans="1:17" ht="15">
      <c r="A202" s="202" t="s">
        <v>294</v>
      </c>
      <c r="B202" s="202"/>
      <c r="C202" s="202"/>
      <c r="D202" s="202"/>
      <c r="E202" s="202"/>
      <c r="F202" s="202"/>
      <c r="G202" s="202"/>
      <c r="H202" s="202"/>
      <c r="I202" s="202"/>
      <c r="J202" s="202"/>
      <c r="K202" s="202"/>
      <c r="L202" s="202"/>
      <c r="M202" s="202"/>
      <c r="N202" s="202"/>
      <c r="O202" s="202"/>
      <c r="P202" s="202"/>
      <c r="Q202" s="202"/>
    </row>
    <row r="203" spans="1:17">
      <c r="A203" t="s">
        <v>227</v>
      </c>
      <c r="B203">
        <v>78</v>
      </c>
      <c r="C203">
        <v>8.5</v>
      </c>
      <c r="D203">
        <v>3.48</v>
      </c>
      <c r="E203" s="24">
        <f>D203*4.184</f>
        <v>14.560320000000001</v>
      </c>
      <c r="G203">
        <v>0.2</v>
      </c>
      <c r="H203">
        <v>11.3</v>
      </c>
      <c r="I203">
        <v>91.95</v>
      </c>
      <c r="J203">
        <v>79</v>
      </c>
      <c r="K203">
        <v>80</v>
      </c>
      <c r="L203">
        <v>3.819</v>
      </c>
      <c r="M203">
        <v>35.5</v>
      </c>
      <c r="N203">
        <v>0.6</v>
      </c>
      <c r="O203">
        <v>0.77</v>
      </c>
      <c r="P203">
        <v>0.36</v>
      </c>
      <c r="Q203">
        <v>0.16</v>
      </c>
    </row>
    <row r="204" spans="1:17" ht="15">
      <c r="A204" s="202" t="s">
        <v>295</v>
      </c>
      <c r="B204" s="202"/>
      <c r="C204" s="202"/>
      <c r="D204" s="202"/>
      <c r="E204" s="202"/>
      <c r="F204" s="202"/>
      <c r="G204" s="202"/>
      <c r="H204" s="202"/>
      <c r="I204" s="202"/>
      <c r="J204" s="202"/>
      <c r="K204" s="202"/>
      <c r="L204" s="202"/>
      <c r="M204" s="202"/>
      <c r="N204" s="202"/>
      <c r="O204" s="202"/>
      <c r="P204" s="202"/>
      <c r="Q204" s="202"/>
    </row>
    <row r="205" spans="1:17">
      <c r="A205" t="s">
        <v>228</v>
      </c>
      <c r="B205">
        <v>68</v>
      </c>
      <c r="C205">
        <v>8.1999999999999993</v>
      </c>
      <c r="D205">
        <v>3.31</v>
      </c>
      <c r="E205" s="24">
        <f>D205*4.184</f>
        <v>13.84904</v>
      </c>
      <c r="G205">
        <v>0.3</v>
      </c>
      <c r="H205">
        <v>7.9</v>
      </c>
      <c r="I205">
        <v>84.11</v>
      </c>
      <c r="J205">
        <v>75</v>
      </c>
      <c r="K205">
        <v>83.6</v>
      </c>
      <c r="L205">
        <v>3.9609999999999999</v>
      </c>
    </row>
    <row r="206" spans="1:17" ht="15">
      <c r="A206" s="202" t="s">
        <v>296</v>
      </c>
      <c r="B206" s="202"/>
      <c r="C206" s="202"/>
      <c r="D206" s="202"/>
      <c r="E206" s="202"/>
      <c r="F206" s="202"/>
      <c r="G206" s="202"/>
      <c r="H206" s="202"/>
      <c r="I206" s="202"/>
      <c r="J206" s="202"/>
      <c r="K206" s="202"/>
      <c r="L206" s="202"/>
      <c r="M206" s="202"/>
      <c r="N206" s="202"/>
      <c r="O206" s="202"/>
      <c r="P206" s="202"/>
      <c r="Q206" s="202"/>
    </row>
    <row r="207" spans="1:17">
      <c r="A207" t="s">
        <v>229</v>
      </c>
      <c r="B207">
        <v>94</v>
      </c>
      <c r="C207">
        <v>10.3</v>
      </c>
      <c r="D207">
        <v>3.09</v>
      </c>
      <c r="E207" s="24">
        <f>D207*4.184</f>
        <v>12.928559999999999</v>
      </c>
      <c r="G207">
        <v>0.9</v>
      </c>
      <c r="H207">
        <v>13.3</v>
      </c>
      <c r="I207">
        <v>82.12</v>
      </c>
      <c r="J207">
        <v>70</v>
      </c>
      <c r="K207">
        <v>75.5</v>
      </c>
      <c r="L207">
        <v>3.8</v>
      </c>
    </row>
    <row r="208" spans="1:17">
      <c r="A208" t="s">
        <v>230</v>
      </c>
      <c r="B208">
        <v>66.040000000000006</v>
      </c>
      <c r="C208">
        <v>8.59</v>
      </c>
      <c r="D208">
        <v>3.17</v>
      </c>
      <c r="E208" s="24">
        <f>D208*4.184</f>
        <v>13.26328</v>
      </c>
      <c r="G208">
        <v>1.86</v>
      </c>
      <c r="H208">
        <v>12.2</v>
      </c>
      <c r="I208">
        <v>82.57</v>
      </c>
      <c r="J208">
        <v>72</v>
      </c>
      <c r="K208">
        <v>77.349999999999994</v>
      </c>
      <c r="L208">
        <v>3.87</v>
      </c>
      <c r="M208">
        <v>60.04</v>
      </c>
      <c r="N208">
        <v>11.98</v>
      </c>
    </row>
    <row r="209" spans="1:17" ht="15">
      <c r="A209" s="202" t="s">
        <v>297</v>
      </c>
      <c r="B209" s="202"/>
      <c r="C209" s="202"/>
      <c r="D209" s="202"/>
      <c r="E209" s="202"/>
      <c r="F209" s="202"/>
      <c r="G209" s="202"/>
      <c r="H209" s="202"/>
      <c r="I209" s="202"/>
      <c r="J209" s="202"/>
      <c r="K209" s="202"/>
      <c r="L209" s="202"/>
      <c r="M209" s="202"/>
      <c r="N209" s="202"/>
      <c r="O209" s="202"/>
      <c r="P209" s="202"/>
      <c r="Q209" s="202"/>
    </row>
    <row r="210" spans="1:17">
      <c r="A210" t="s">
        <v>655</v>
      </c>
      <c r="B210">
        <v>20</v>
      </c>
      <c r="C210">
        <v>8.6999999999999993</v>
      </c>
      <c r="D210">
        <v>2.4300000000000002</v>
      </c>
      <c r="E210" s="24">
        <f>D210*4.184</f>
        <v>10.167120000000001</v>
      </c>
      <c r="G210">
        <v>3</v>
      </c>
      <c r="H210">
        <v>8.6</v>
      </c>
      <c r="I210">
        <v>59.81</v>
      </c>
      <c r="J210">
        <v>55</v>
      </c>
      <c r="K210">
        <v>79.7</v>
      </c>
      <c r="L210">
        <v>4.0810000000000004</v>
      </c>
      <c r="O210">
        <v>70</v>
      </c>
      <c r="P210">
        <v>45</v>
      </c>
      <c r="Q210">
        <v>10</v>
      </c>
    </row>
    <row r="211" spans="1:17">
      <c r="A211" t="s">
        <v>656</v>
      </c>
      <c r="B211">
        <v>23</v>
      </c>
      <c r="C211">
        <v>7.8</v>
      </c>
      <c r="D211">
        <v>2.34</v>
      </c>
      <c r="E211" s="24">
        <f>D211*4.184</f>
        <v>9.7905599999999993</v>
      </c>
      <c r="G211">
        <v>1.1000000000000001</v>
      </c>
      <c r="H211">
        <v>5.3</v>
      </c>
      <c r="I211">
        <v>57.24</v>
      </c>
      <c r="J211">
        <v>53</v>
      </c>
      <c r="K211">
        <v>85.8</v>
      </c>
      <c r="L211">
        <v>4.1050000000000004</v>
      </c>
      <c r="O211">
        <v>75</v>
      </c>
      <c r="P211">
        <v>47</v>
      </c>
      <c r="Q211">
        <v>14</v>
      </c>
    </row>
    <row r="212" spans="1:17" ht="15">
      <c r="A212" s="202" t="s">
        <v>298</v>
      </c>
      <c r="B212" s="202"/>
      <c r="C212" s="202"/>
      <c r="D212" s="202"/>
      <c r="E212" s="202"/>
      <c r="F212" s="202"/>
      <c r="G212" s="202"/>
      <c r="H212" s="202"/>
      <c r="I212" s="202"/>
      <c r="J212" s="202"/>
      <c r="K212" s="202"/>
      <c r="L212" s="202"/>
      <c r="M212" s="202"/>
      <c r="N212" s="202"/>
      <c r="O212" s="202"/>
      <c r="P212" s="202"/>
      <c r="Q212" s="202"/>
    </row>
    <row r="213" spans="1:17">
      <c r="A213" t="s">
        <v>657</v>
      </c>
      <c r="B213">
        <v>92</v>
      </c>
      <c r="C213">
        <v>4.0999999999999996</v>
      </c>
      <c r="D213">
        <v>2.16</v>
      </c>
      <c r="E213" s="24">
        <f>D213*4.184</f>
        <v>9.0374400000000001</v>
      </c>
      <c r="G213">
        <v>5.4</v>
      </c>
      <c r="H213">
        <v>21.1</v>
      </c>
      <c r="I213">
        <v>60.36</v>
      </c>
      <c r="J213">
        <v>49</v>
      </c>
      <c r="K213">
        <v>69.400000000000006</v>
      </c>
      <c r="L213">
        <v>3.6190000000000002</v>
      </c>
      <c r="O213">
        <v>83</v>
      </c>
      <c r="P213">
        <v>43</v>
      </c>
      <c r="Q213">
        <v>14</v>
      </c>
    </row>
    <row r="214" spans="1:17" ht="15">
      <c r="A214" s="202" t="s">
        <v>299</v>
      </c>
      <c r="B214" s="202"/>
      <c r="C214" s="202"/>
      <c r="D214" s="202"/>
      <c r="E214" s="202"/>
      <c r="F214" s="202"/>
      <c r="G214" s="202"/>
      <c r="H214" s="202"/>
      <c r="I214" s="202"/>
      <c r="J214" s="202"/>
      <c r="K214" s="202"/>
      <c r="L214" s="202"/>
      <c r="M214" s="202"/>
      <c r="N214" s="202"/>
      <c r="O214" s="202"/>
      <c r="P214" s="202"/>
      <c r="Q214" s="202"/>
    </row>
    <row r="215" spans="1:17">
      <c r="A215" t="s">
        <v>658</v>
      </c>
      <c r="B215">
        <v>89.96</v>
      </c>
      <c r="C215">
        <v>13.3</v>
      </c>
      <c r="D215">
        <v>3.4</v>
      </c>
      <c r="E215" s="24">
        <f t="shared" ref="E215:E222" si="5">D215*4.184</f>
        <v>14.2256</v>
      </c>
      <c r="F215">
        <v>4.6669999999999998</v>
      </c>
      <c r="G215">
        <v>5.4</v>
      </c>
      <c r="H215">
        <v>3.4</v>
      </c>
      <c r="I215">
        <v>75.63</v>
      </c>
      <c r="J215">
        <v>77</v>
      </c>
      <c r="K215">
        <v>77.900000000000006</v>
      </c>
      <c r="L215">
        <v>4.492</v>
      </c>
      <c r="M215">
        <v>2.1800000000000002</v>
      </c>
      <c r="N215">
        <v>44.09</v>
      </c>
      <c r="O215">
        <v>26.65</v>
      </c>
      <c r="P215">
        <v>13.3</v>
      </c>
      <c r="Q215">
        <v>3</v>
      </c>
    </row>
    <row r="216" spans="1:17">
      <c r="A216" t="s">
        <v>659</v>
      </c>
      <c r="B216">
        <v>91</v>
      </c>
      <c r="C216">
        <v>10</v>
      </c>
      <c r="D216">
        <v>3.44</v>
      </c>
      <c r="E216" s="24">
        <f t="shared" si="5"/>
        <v>14.39296</v>
      </c>
      <c r="G216">
        <v>5.5</v>
      </c>
      <c r="H216">
        <v>4.2</v>
      </c>
      <c r="I216">
        <v>77.900000000000006</v>
      </c>
      <c r="J216">
        <v>78</v>
      </c>
      <c r="K216">
        <v>80.3</v>
      </c>
      <c r="L216">
        <v>4.4139999999999997</v>
      </c>
    </row>
    <row r="217" spans="1:17">
      <c r="A217" t="s">
        <v>660</v>
      </c>
      <c r="B217">
        <v>90</v>
      </c>
      <c r="C217">
        <v>17.7</v>
      </c>
      <c r="D217">
        <v>4.1399999999999997</v>
      </c>
      <c r="E217" s="24">
        <f t="shared" si="5"/>
        <v>17.321759999999998</v>
      </c>
      <c r="G217">
        <v>6.9</v>
      </c>
      <c r="H217">
        <v>2.4</v>
      </c>
      <c r="I217">
        <v>88.29</v>
      </c>
      <c r="J217">
        <v>94</v>
      </c>
      <c r="K217">
        <v>73</v>
      </c>
      <c r="L217">
        <v>4.6779999999999999</v>
      </c>
    </row>
    <row r="218" spans="1:17">
      <c r="A218" t="s">
        <v>661</v>
      </c>
      <c r="B218">
        <v>89.61</v>
      </c>
      <c r="C218">
        <v>8.73</v>
      </c>
      <c r="D218">
        <v>2.64</v>
      </c>
      <c r="E218" s="24">
        <f t="shared" si="5"/>
        <v>11.045760000000001</v>
      </c>
      <c r="G218">
        <v>2.2200000000000002</v>
      </c>
      <c r="H218">
        <v>7.07</v>
      </c>
      <c r="I218">
        <v>64.59</v>
      </c>
      <c r="J218">
        <v>55</v>
      </c>
      <c r="K218">
        <v>81.98</v>
      </c>
      <c r="L218">
        <v>4.1040000000000001</v>
      </c>
      <c r="M218">
        <v>10.9</v>
      </c>
      <c r="N218">
        <v>3.97</v>
      </c>
      <c r="O218">
        <v>59.13</v>
      </c>
      <c r="P218">
        <v>37.08</v>
      </c>
      <c r="Q218">
        <v>4.6900000000000004</v>
      </c>
    </row>
    <row r="219" spans="1:17">
      <c r="A219" t="s">
        <v>662</v>
      </c>
      <c r="B219">
        <v>91.6</v>
      </c>
      <c r="C219">
        <v>6.1</v>
      </c>
      <c r="D219">
        <v>2.4900000000000002</v>
      </c>
      <c r="E219" s="24">
        <f t="shared" si="5"/>
        <v>10.418160000000002</v>
      </c>
      <c r="G219">
        <v>2.8</v>
      </c>
      <c r="H219">
        <v>5.24</v>
      </c>
      <c r="I219">
        <v>59.85</v>
      </c>
      <c r="J219">
        <v>35</v>
      </c>
      <c r="K219">
        <v>85.86</v>
      </c>
      <c r="L219">
        <v>4.1710000000000003</v>
      </c>
      <c r="M219">
        <v>3.03</v>
      </c>
      <c r="N219">
        <v>15.83</v>
      </c>
      <c r="O219">
        <v>64.44</v>
      </c>
      <c r="P219">
        <v>35.869999999999997</v>
      </c>
      <c r="Q219">
        <v>5.54</v>
      </c>
    </row>
    <row r="220" spans="1:17">
      <c r="A220" t="s">
        <v>663</v>
      </c>
      <c r="B220">
        <v>23</v>
      </c>
      <c r="C220">
        <v>12.8</v>
      </c>
      <c r="D220">
        <v>2.87</v>
      </c>
      <c r="E220" s="24">
        <f t="shared" si="5"/>
        <v>12.008080000000001</v>
      </c>
      <c r="G220">
        <v>2.5</v>
      </c>
      <c r="H220">
        <v>6.5</v>
      </c>
      <c r="I220">
        <v>68.510000000000005</v>
      </c>
      <c r="J220">
        <v>65</v>
      </c>
      <c r="K220">
        <v>78.2</v>
      </c>
      <c r="L220">
        <v>4.2039999999999997</v>
      </c>
      <c r="M220">
        <v>5.08</v>
      </c>
      <c r="N220">
        <v>3.11</v>
      </c>
      <c r="O220">
        <v>58.88</v>
      </c>
      <c r="P220">
        <v>38.49</v>
      </c>
      <c r="Q220">
        <v>5.33</v>
      </c>
    </row>
    <row r="221" spans="1:17">
      <c r="A221" t="s">
        <v>664</v>
      </c>
      <c r="B221">
        <v>35</v>
      </c>
      <c r="C221">
        <v>10</v>
      </c>
      <c r="D221">
        <v>2.5099999999999998</v>
      </c>
      <c r="E221" s="24">
        <f t="shared" si="5"/>
        <v>10.50184</v>
      </c>
      <c r="G221">
        <v>4.0999999999999996</v>
      </c>
      <c r="H221">
        <v>6.9</v>
      </c>
      <c r="I221">
        <v>59.49</v>
      </c>
      <c r="J221">
        <v>57</v>
      </c>
      <c r="K221">
        <v>79</v>
      </c>
      <c r="L221">
        <v>4.2290000000000001</v>
      </c>
    </row>
    <row r="222" spans="1:17">
      <c r="A222" t="s">
        <v>665</v>
      </c>
      <c r="B222">
        <v>84.19</v>
      </c>
      <c r="C222">
        <v>4.83</v>
      </c>
      <c r="D222">
        <v>1.98</v>
      </c>
      <c r="E222" s="24">
        <f t="shared" si="5"/>
        <v>8.284320000000001</v>
      </c>
      <c r="G222">
        <v>1.33</v>
      </c>
      <c r="H222">
        <v>6.92</v>
      </c>
      <c r="I222">
        <v>49.68</v>
      </c>
      <c r="J222">
        <v>45</v>
      </c>
      <c r="K222">
        <v>86.92</v>
      </c>
      <c r="L222">
        <v>4.0049999999999999</v>
      </c>
      <c r="N222">
        <v>1.35</v>
      </c>
      <c r="O222">
        <v>73.75</v>
      </c>
      <c r="P222">
        <v>49.29</v>
      </c>
      <c r="Q222">
        <v>7.07</v>
      </c>
    </row>
    <row r="223" spans="1:17" ht="15">
      <c r="A223" s="202" t="s">
        <v>300</v>
      </c>
      <c r="B223" s="202"/>
      <c r="C223" s="202"/>
      <c r="D223" s="202"/>
      <c r="E223" s="202"/>
      <c r="F223" s="202"/>
      <c r="G223" s="202"/>
      <c r="H223" s="202"/>
      <c r="I223" s="202"/>
      <c r="J223" s="202"/>
      <c r="K223" s="202"/>
      <c r="L223" s="202"/>
      <c r="M223" s="202"/>
      <c r="N223" s="202"/>
      <c r="O223" s="202"/>
      <c r="P223" s="202"/>
      <c r="Q223" s="202"/>
    </row>
    <row r="224" spans="1:17">
      <c r="A224" t="s">
        <v>666</v>
      </c>
      <c r="B224">
        <v>23</v>
      </c>
      <c r="C224">
        <v>18.399999999999999</v>
      </c>
      <c r="D224">
        <v>3.17</v>
      </c>
      <c r="E224" s="24">
        <f>D224*4.184</f>
        <v>13.26328</v>
      </c>
      <c r="G224">
        <v>4.9000000000000004</v>
      </c>
      <c r="H224">
        <v>11.3</v>
      </c>
      <c r="I224">
        <v>75.540000000000006</v>
      </c>
      <c r="J224">
        <v>72</v>
      </c>
      <c r="K224">
        <v>65.400000000000006</v>
      </c>
      <c r="L224">
        <v>4.2140000000000004</v>
      </c>
      <c r="O224">
        <v>58.1</v>
      </c>
      <c r="P224">
        <v>30.7</v>
      </c>
    </row>
    <row r="225" spans="1:17">
      <c r="A225" t="s">
        <v>667</v>
      </c>
      <c r="B225">
        <v>31</v>
      </c>
      <c r="C225">
        <v>11</v>
      </c>
      <c r="D225">
        <v>2.5099999999999998</v>
      </c>
      <c r="E225" s="24">
        <f>D225*4.184</f>
        <v>10.50184</v>
      </c>
      <c r="G225">
        <v>3.5</v>
      </c>
      <c r="H225">
        <v>7.5</v>
      </c>
      <c r="I225">
        <v>60.13</v>
      </c>
      <c r="J225">
        <v>57</v>
      </c>
      <c r="K225">
        <v>78</v>
      </c>
      <c r="L225">
        <v>4.1879999999999997</v>
      </c>
      <c r="O225">
        <v>57.6</v>
      </c>
      <c r="P225">
        <v>35.6</v>
      </c>
    </row>
    <row r="226" spans="1:17">
      <c r="A226" t="s">
        <v>668</v>
      </c>
      <c r="B226">
        <v>89</v>
      </c>
      <c r="C226">
        <v>15</v>
      </c>
      <c r="D226">
        <v>2.87</v>
      </c>
      <c r="E226" s="24">
        <f>D226*4.184</f>
        <v>12.008080000000001</v>
      </c>
      <c r="G226">
        <v>2.8</v>
      </c>
      <c r="H226">
        <v>8.6999999999999993</v>
      </c>
      <c r="I226">
        <v>69.290000000000006</v>
      </c>
      <c r="J226">
        <v>65</v>
      </c>
      <c r="K226">
        <v>73.5</v>
      </c>
      <c r="L226">
        <v>4.1609999999999996</v>
      </c>
      <c r="O226">
        <v>59.6</v>
      </c>
      <c r="P226">
        <v>33.799999999999997</v>
      </c>
    </row>
    <row r="227" spans="1:17">
      <c r="A227" t="s">
        <v>669</v>
      </c>
      <c r="B227">
        <v>91.47</v>
      </c>
      <c r="C227">
        <v>13.77</v>
      </c>
      <c r="D227">
        <v>2.38</v>
      </c>
      <c r="E227" s="24">
        <f>D227*4.184</f>
        <v>9.9579199999999997</v>
      </c>
      <c r="G227">
        <v>2.2999999999999998</v>
      </c>
      <c r="H227">
        <v>10.54</v>
      </c>
      <c r="I227">
        <v>59.28</v>
      </c>
      <c r="J227">
        <v>54</v>
      </c>
      <c r="K227">
        <v>73.39</v>
      </c>
      <c r="L227">
        <v>4.04</v>
      </c>
      <c r="O227">
        <v>65</v>
      </c>
      <c r="P227">
        <v>37.799999999999997</v>
      </c>
    </row>
    <row r="228" spans="1:17" ht="15">
      <c r="A228" s="202" t="s">
        <v>301</v>
      </c>
      <c r="B228" s="202"/>
      <c r="C228" s="202"/>
      <c r="D228" s="202"/>
      <c r="E228" s="202"/>
      <c r="F228" s="202"/>
      <c r="G228" s="202"/>
      <c r="H228" s="202"/>
      <c r="I228" s="202"/>
      <c r="J228" s="202"/>
      <c r="K228" s="202"/>
      <c r="L228" s="202"/>
      <c r="M228" s="202"/>
      <c r="N228" s="202"/>
      <c r="O228" s="202"/>
      <c r="P228" s="202"/>
      <c r="Q228" s="202"/>
    </row>
    <row r="229" spans="1:17">
      <c r="A229" t="s">
        <v>670</v>
      </c>
      <c r="B229">
        <v>21</v>
      </c>
      <c r="C229">
        <v>10.3</v>
      </c>
      <c r="D229">
        <v>2.4300000000000002</v>
      </c>
      <c r="E229" s="24">
        <f>D229*4.184</f>
        <v>10.167120000000001</v>
      </c>
      <c r="G229">
        <v>2.2999999999999998</v>
      </c>
      <c r="H229">
        <v>9.6</v>
      </c>
      <c r="I229">
        <v>60.69</v>
      </c>
      <c r="J229">
        <v>55</v>
      </c>
      <c r="K229">
        <v>77.8</v>
      </c>
      <c r="L229">
        <v>4.0270000000000001</v>
      </c>
      <c r="P229">
        <v>38</v>
      </c>
      <c r="Q229">
        <v>5</v>
      </c>
    </row>
    <row r="230" spans="1:17">
      <c r="A230" t="s">
        <v>671</v>
      </c>
      <c r="B230">
        <v>91</v>
      </c>
      <c r="C230">
        <v>11.5</v>
      </c>
      <c r="D230">
        <v>2.25</v>
      </c>
      <c r="E230" s="24">
        <f>D230*4.184</f>
        <v>9.4139999999999997</v>
      </c>
      <c r="G230">
        <v>2.2000000000000002</v>
      </c>
      <c r="H230">
        <v>8.5</v>
      </c>
      <c r="I230">
        <v>55.35</v>
      </c>
      <c r="J230">
        <v>51</v>
      </c>
      <c r="K230">
        <v>77.8</v>
      </c>
      <c r="L230">
        <v>4.085</v>
      </c>
      <c r="O230">
        <v>70</v>
      </c>
      <c r="P230">
        <v>41</v>
      </c>
      <c r="Q230">
        <v>6</v>
      </c>
    </row>
    <row r="231" spans="1:17">
      <c r="A231" t="s">
        <v>672</v>
      </c>
      <c r="B231">
        <v>91</v>
      </c>
      <c r="C231">
        <v>7.1</v>
      </c>
      <c r="D231">
        <v>1.98</v>
      </c>
      <c r="E231" s="24">
        <f>D231*4.184</f>
        <v>8.284320000000001</v>
      </c>
      <c r="G231">
        <v>2</v>
      </c>
      <c r="H231">
        <v>8</v>
      </c>
      <c r="I231">
        <v>49.38</v>
      </c>
      <c r="J231">
        <v>45</v>
      </c>
      <c r="K231">
        <v>82.9</v>
      </c>
      <c r="L231">
        <v>4.03</v>
      </c>
      <c r="O231">
        <v>73</v>
      </c>
      <c r="P231">
        <v>43</v>
      </c>
      <c r="Q231">
        <v>6</v>
      </c>
    </row>
    <row r="232" spans="1:17">
      <c r="A232" t="s">
        <v>673</v>
      </c>
      <c r="B232">
        <v>91</v>
      </c>
      <c r="C232">
        <v>5.5</v>
      </c>
      <c r="D232">
        <v>1.76</v>
      </c>
      <c r="E232" s="24">
        <f>D232*4.184</f>
        <v>7.3638400000000006</v>
      </c>
      <c r="G232">
        <v>2</v>
      </c>
      <c r="H232">
        <v>7.6</v>
      </c>
      <c r="I232">
        <v>43.97</v>
      </c>
      <c r="J232">
        <v>40</v>
      </c>
      <c r="K232">
        <v>84.9</v>
      </c>
      <c r="L232">
        <v>4.0220000000000002</v>
      </c>
      <c r="O232">
        <v>77</v>
      </c>
      <c r="P232">
        <v>46</v>
      </c>
      <c r="Q232">
        <v>7</v>
      </c>
    </row>
    <row r="233" spans="1:17" ht="15">
      <c r="A233" s="202" t="s">
        <v>302</v>
      </c>
      <c r="B233" s="202"/>
      <c r="C233" s="202"/>
      <c r="D233" s="202"/>
      <c r="E233" s="202"/>
      <c r="F233" s="202"/>
      <c r="G233" s="202"/>
      <c r="H233" s="202"/>
      <c r="I233" s="202"/>
      <c r="J233" s="202"/>
      <c r="K233" s="202"/>
      <c r="L233" s="202"/>
      <c r="M233" s="202"/>
      <c r="N233" s="202"/>
      <c r="O233" s="202"/>
      <c r="P233" s="202"/>
      <c r="Q233" s="202"/>
    </row>
    <row r="234" spans="1:17">
      <c r="A234" t="s">
        <v>674</v>
      </c>
      <c r="B234">
        <v>89</v>
      </c>
      <c r="C234">
        <v>25.3</v>
      </c>
      <c r="D234">
        <v>3.84</v>
      </c>
      <c r="E234" s="24">
        <f>D234*4.184</f>
        <v>16.066559999999999</v>
      </c>
      <c r="G234">
        <v>1.4</v>
      </c>
      <c r="H234">
        <v>3.3</v>
      </c>
      <c r="I234">
        <v>86.18</v>
      </c>
      <c r="J234">
        <v>87</v>
      </c>
      <c r="K234">
        <v>70</v>
      </c>
      <c r="L234">
        <v>4.4660000000000002</v>
      </c>
      <c r="M234">
        <v>42.66</v>
      </c>
      <c r="O234">
        <v>13.67</v>
      </c>
      <c r="P234">
        <v>9.23</v>
      </c>
      <c r="Q234">
        <v>1.06</v>
      </c>
    </row>
    <row r="235" spans="1:17">
      <c r="A235" t="s">
        <v>675</v>
      </c>
      <c r="B235">
        <v>87</v>
      </c>
      <c r="C235">
        <v>8.9</v>
      </c>
      <c r="D235">
        <v>2.0299999999999998</v>
      </c>
      <c r="E235" s="24">
        <f>D235*4.184</f>
        <v>8.4935200000000002</v>
      </c>
      <c r="G235">
        <v>1.8</v>
      </c>
      <c r="H235">
        <v>6.5</v>
      </c>
      <c r="I235">
        <v>49.62</v>
      </c>
      <c r="J235">
        <v>46</v>
      </c>
      <c r="K235">
        <v>82.8</v>
      </c>
      <c r="L235">
        <v>4.1079999999999997</v>
      </c>
    </row>
    <row r="236" spans="1:17">
      <c r="A236" t="s">
        <v>676</v>
      </c>
      <c r="B236">
        <v>25</v>
      </c>
      <c r="C236">
        <v>13.1</v>
      </c>
      <c r="D236">
        <v>2.5099999999999998</v>
      </c>
      <c r="E236" s="24">
        <f>D236*4.184</f>
        <v>10.50184</v>
      </c>
      <c r="G236">
        <v>3.3</v>
      </c>
      <c r="H236">
        <v>9</v>
      </c>
      <c r="I236">
        <v>60.8</v>
      </c>
      <c r="J236">
        <v>57</v>
      </c>
      <c r="K236">
        <v>74.599999999999994</v>
      </c>
      <c r="L236">
        <v>4.1459999999999999</v>
      </c>
      <c r="N236">
        <v>5.58</v>
      </c>
      <c r="O236">
        <v>59</v>
      </c>
      <c r="P236">
        <v>49</v>
      </c>
      <c r="Q236">
        <v>9</v>
      </c>
    </row>
    <row r="237" spans="1:17">
      <c r="A237" t="s">
        <v>677</v>
      </c>
      <c r="B237">
        <v>89.9</v>
      </c>
      <c r="C237">
        <v>14.8</v>
      </c>
      <c r="D237">
        <v>2.6</v>
      </c>
      <c r="E237" s="24">
        <f>D237*4.184</f>
        <v>10.878400000000001</v>
      </c>
      <c r="G237">
        <v>1.9</v>
      </c>
      <c r="H237">
        <v>8</v>
      </c>
      <c r="I237">
        <v>63.12</v>
      </c>
      <c r="J237">
        <v>59</v>
      </c>
      <c r="K237">
        <v>75.3</v>
      </c>
      <c r="L237">
        <v>4.1399999999999997</v>
      </c>
      <c r="N237">
        <v>46.3</v>
      </c>
      <c r="O237">
        <v>13.1</v>
      </c>
      <c r="P237">
        <v>7.16</v>
      </c>
    </row>
    <row r="238" spans="1:17" ht="15">
      <c r="A238" s="202" t="s">
        <v>303</v>
      </c>
      <c r="B238" s="202"/>
      <c r="C238" s="202"/>
      <c r="D238" s="202"/>
      <c r="E238" s="202"/>
      <c r="F238" s="202"/>
      <c r="G238" s="202"/>
      <c r="H238" s="202"/>
      <c r="I238" s="202"/>
      <c r="J238" s="202"/>
      <c r="K238" s="202"/>
      <c r="L238" s="202"/>
      <c r="M238" s="202"/>
      <c r="N238" s="202"/>
      <c r="O238" s="202"/>
      <c r="P238" s="202"/>
      <c r="Q238" s="202"/>
    </row>
    <row r="239" spans="1:17">
      <c r="A239" t="s">
        <v>678</v>
      </c>
      <c r="B239">
        <v>91</v>
      </c>
      <c r="C239">
        <v>10.8</v>
      </c>
      <c r="D239">
        <v>2.4300000000000002</v>
      </c>
      <c r="E239" s="24">
        <f>D239*4.184</f>
        <v>10.167120000000001</v>
      </c>
      <c r="G239">
        <v>3.4</v>
      </c>
      <c r="H239">
        <v>8.6</v>
      </c>
      <c r="I239">
        <v>59.02</v>
      </c>
      <c r="J239">
        <v>55</v>
      </c>
      <c r="K239">
        <v>77.2</v>
      </c>
      <c r="L239">
        <v>4.1340000000000003</v>
      </c>
      <c r="M239">
        <v>7.42</v>
      </c>
      <c r="N239">
        <v>4</v>
      </c>
      <c r="O239">
        <v>47.4</v>
      </c>
      <c r="P239">
        <v>39.130000000000003</v>
      </c>
      <c r="Q239">
        <v>8.4499999999999993</v>
      </c>
    </row>
    <row r="240" spans="1:17">
      <c r="A240" t="s">
        <v>679</v>
      </c>
      <c r="B240">
        <v>91</v>
      </c>
      <c r="C240">
        <v>7.8</v>
      </c>
      <c r="D240">
        <v>0.97</v>
      </c>
      <c r="E240" s="24">
        <f>D240*4.184</f>
        <v>4.0584800000000003</v>
      </c>
      <c r="G240">
        <v>2</v>
      </c>
      <c r="H240">
        <v>4.2</v>
      </c>
      <c r="I240">
        <v>23.17</v>
      </c>
      <c r="J240">
        <v>22</v>
      </c>
      <c r="K240">
        <v>86</v>
      </c>
      <c r="L240">
        <v>4.1980000000000004</v>
      </c>
      <c r="M240">
        <v>6.52</v>
      </c>
      <c r="N240">
        <v>1.24</v>
      </c>
      <c r="O240">
        <v>68.459999999999994</v>
      </c>
      <c r="P240">
        <v>58.87</v>
      </c>
      <c r="Q240">
        <v>23.03</v>
      </c>
    </row>
    <row r="241" spans="1:17">
      <c r="A241" t="s">
        <v>680</v>
      </c>
      <c r="B241">
        <v>93</v>
      </c>
      <c r="C241">
        <v>52</v>
      </c>
      <c r="D241">
        <v>3.66</v>
      </c>
      <c r="E241" s="24">
        <f>D241*4.184</f>
        <v>15.313440000000002</v>
      </c>
      <c r="G241">
        <v>6.3</v>
      </c>
      <c r="H241">
        <v>5.5</v>
      </c>
      <c r="I241">
        <v>72.709999999999994</v>
      </c>
      <c r="J241">
        <v>83</v>
      </c>
      <c r="K241">
        <v>36.200000000000003</v>
      </c>
      <c r="L241">
        <v>5.0330000000000004</v>
      </c>
      <c r="M241">
        <v>9.9600000000000009</v>
      </c>
      <c r="N241">
        <v>6.93</v>
      </c>
      <c r="O241">
        <v>19.89</v>
      </c>
      <c r="P241">
        <v>13.15</v>
      </c>
      <c r="Q241">
        <v>3.3</v>
      </c>
    </row>
    <row r="242" spans="1:17">
      <c r="A242" t="s">
        <v>681</v>
      </c>
      <c r="B242">
        <v>92</v>
      </c>
      <c r="C242">
        <v>52.3</v>
      </c>
      <c r="D242">
        <v>3.4</v>
      </c>
      <c r="E242" s="24">
        <f>D242*4.184</f>
        <v>14.2256</v>
      </c>
      <c r="G242">
        <v>1.4</v>
      </c>
      <c r="H242">
        <v>6.3</v>
      </c>
      <c r="I242">
        <v>71.900000000000006</v>
      </c>
      <c r="J242">
        <v>77</v>
      </c>
      <c r="K242">
        <v>40</v>
      </c>
      <c r="L242">
        <v>4.7469999999999999</v>
      </c>
    </row>
    <row r="243" spans="1:17" ht="15">
      <c r="A243" s="202" t="s">
        <v>304</v>
      </c>
      <c r="B243" s="202"/>
      <c r="C243" s="202"/>
      <c r="D243" s="202"/>
      <c r="E243" s="202"/>
      <c r="F243" s="202"/>
      <c r="G243" s="202"/>
      <c r="H243" s="202"/>
      <c r="I243" s="202"/>
      <c r="J243" s="202"/>
      <c r="K243" s="202"/>
      <c r="L243" s="202"/>
      <c r="M243" s="202"/>
      <c r="N243" s="202"/>
      <c r="O243" s="202"/>
      <c r="P243" s="202"/>
      <c r="Q243" s="202"/>
    </row>
    <row r="244" spans="1:17">
      <c r="A244" t="s">
        <v>682</v>
      </c>
      <c r="B244">
        <v>21</v>
      </c>
      <c r="C244">
        <v>8.5</v>
      </c>
      <c r="D244">
        <v>2.69</v>
      </c>
      <c r="E244" s="24">
        <f>D244*4.184</f>
        <v>11.254960000000001</v>
      </c>
      <c r="G244">
        <v>2.2000000000000002</v>
      </c>
      <c r="H244">
        <v>10</v>
      </c>
      <c r="I244">
        <v>68.040000000000006</v>
      </c>
      <c r="J244">
        <v>61</v>
      </c>
      <c r="K244">
        <v>79.3</v>
      </c>
      <c r="L244">
        <v>3.9780000000000002</v>
      </c>
    </row>
    <row r="245" spans="1:17" ht="15">
      <c r="A245" s="202" t="s">
        <v>305</v>
      </c>
      <c r="B245" s="202"/>
      <c r="C245" s="202"/>
      <c r="D245" s="202"/>
      <c r="E245" s="202"/>
      <c r="F245" s="202"/>
      <c r="G245" s="202"/>
      <c r="H245" s="202"/>
      <c r="I245" s="202"/>
      <c r="J245" s="202"/>
      <c r="K245" s="202"/>
      <c r="L245" s="202"/>
      <c r="M245" s="202"/>
      <c r="N245" s="202"/>
      <c r="O245" s="202"/>
      <c r="P245" s="202"/>
      <c r="Q245" s="202"/>
    </row>
    <row r="246" spans="1:17">
      <c r="A246" t="s">
        <v>683</v>
      </c>
      <c r="B246">
        <v>89</v>
      </c>
      <c r="C246">
        <v>7.8</v>
      </c>
      <c r="D246">
        <v>2.69</v>
      </c>
      <c r="E246" s="24">
        <f>D246*4.184</f>
        <v>11.254960000000001</v>
      </c>
      <c r="G246">
        <v>2.8</v>
      </c>
      <c r="H246">
        <v>6.1</v>
      </c>
      <c r="I246">
        <v>64.84</v>
      </c>
      <c r="J246">
        <v>61</v>
      </c>
      <c r="K246">
        <v>83.3</v>
      </c>
      <c r="L246">
        <v>4.1609999999999996</v>
      </c>
    </row>
    <row r="247" spans="1:17">
      <c r="A247" t="s">
        <v>684</v>
      </c>
      <c r="B247">
        <v>87</v>
      </c>
      <c r="C247">
        <v>4.5999999999999996</v>
      </c>
      <c r="D247">
        <v>3</v>
      </c>
      <c r="E247" s="24">
        <f>D247*4.184</f>
        <v>12.552</v>
      </c>
      <c r="G247">
        <v>1.5</v>
      </c>
      <c r="H247">
        <v>3.5</v>
      </c>
      <c r="I247">
        <v>72.430000000000007</v>
      </c>
      <c r="J247">
        <v>68</v>
      </c>
      <c r="K247">
        <v>90.4</v>
      </c>
      <c r="L247">
        <v>4.1529999999999996</v>
      </c>
      <c r="O247">
        <v>73</v>
      </c>
      <c r="P247">
        <v>37</v>
      </c>
      <c r="Q247">
        <v>7</v>
      </c>
    </row>
    <row r="248" spans="1:17" ht="15">
      <c r="A248" s="202" t="s">
        <v>306</v>
      </c>
      <c r="B248" s="202"/>
      <c r="C248" s="202"/>
      <c r="D248" s="202"/>
      <c r="E248" s="202"/>
      <c r="F248" s="202"/>
      <c r="G248" s="202"/>
      <c r="H248" s="202"/>
      <c r="I248" s="202"/>
      <c r="J248" s="202"/>
      <c r="K248" s="202"/>
      <c r="L248" s="202"/>
      <c r="M248" s="202"/>
      <c r="N248" s="202"/>
      <c r="O248" s="202"/>
      <c r="P248" s="202"/>
      <c r="Q248" s="202"/>
    </row>
    <row r="249" spans="1:17">
      <c r="A249" t="s">
        <v>685</v>
      </c>
      <c r="B249">
        <v>89</v>
      </c>
      <c r="C249">
        <v>8.4</v>
      </c>
      <c r="D249">
        <v>3.97</v>
      </c>
      <c r="E249" s="24">
        <f>D249*4.184</f>
        <v>16.610480000000003</v>
      </c>
      <c r="G249">
        <v>4</v>
      </c>
      <c r="H249">
        <v>3.4</v>
      </c>
      <c r="I249">
        <v>91.4</v>
      </c>
      <c r="J249">
        <v>90</v>
      </c>
      <c r="K249">
        <v>84.2</v>
      </c>
      <c r="L249">
        <v>4.3449999999999998</v>
      </c>
      <c r="M249">
        <v>3.7</v>
      </c>
      <c r="N249">
        <v>44.34</v>
      </c>
      <c r="O249">
        <v>18.38</v>
      </c>
      <c r="P249">
        <v>13.31</v>
      </c>
      <c r="Q249">
        <v>3.2</v>
      </c>
    </row>
    <row r="250" spans="1:17">
      <c r="A250" t="s">
        <v>686</v>
      </c>
      <c r="B250">
        <v>23.54</v>
      </c>
      <c r="C250">
        <v>10.11</v>
      </c>
      <c r="D250">
        <v>3.38</v>
      </c>
      <c r="E250" s="24">
        <f>D250*4.184</f>
        <v>14.141920000000001</v>
      </c>
      <c r="G250">
        <v>7.52</v>
      </c>
      <c r="H250">
        <v>6.3</v>
      </c>
      <c r="I250">
        <v>76.150000000000006</v>
      </c>
      <c r="J250">
        <v>81</v>
      </c>
      <c r="K250">
        <v>76.069999999999993</v>
      </c>
      <c r="L250">
        <v>4.4349999999999996</v>
      </c>
      <c r="M250">
        <v>11.91</v>
      </c>
      <c r="N250">
        <v>60.87</v>
      </c>
      <c r="O250">
        <v>11.19</v>
      </c>
      <c r="P250">
        <v>7.32</v>
      </c>
      <c r="Q250">
        <v>1.1000000000000001</v>
      </c>
    </row>
    <row r="251" spans="1:17">
      <c r="A251" t="s">
        <v>687</v>
      </c>
      <c r="B251">
        <v>25</v>
      </c>
      <c r="C251">
        <v>7.6</v>
      </c>
      <c r="D251">
        <v>3.62</v>
      </c>
      <c r="E251" s="24">
        <f>D251*4.184</f>
        <v>15.146080000000001</v>
      </c>
      <c r="G251">
        <v>4</v>
      </c>
      <c r="H251">
        <v>5.5</v>
      </c>
      <c r="I251">
        <v>85.4</v>
      </c>
      <c r="J251">
        <v>82</v>
      </c>
      <c r="K251">
        <v>82.9</v>
      </c>
      <c r="L251">
        <v>4.2460000000000004</v>
      </c>
    </row>
    <row r="252" spans="1:17" ht="15">
      <c r="A252" s="202" t="s">
        <v>307</v>
      </c>
      <c r="B252" s="202"/>
      <c r="C252" s="202"/>
      <c r="D252" s="202"/>
      <c r="E252" s="202"/>
      <c r="F252" s="202"/>
      <c r="G252" s="202"/>
      <c r="H252" s="202"/>
      <c r="I252" s="202"/>
      <c r="J252" s="202"/>
      <c r="K252" s="202"/>
      <c r="L252" s="202"/>
      <c r="M252" s="202"/>
      <c r="N252" s="202"/>
      <c r="O252" s="202"/>
      <c r="P252" s="202"/>
      <c r="Q252" s="202"/>
    </row>
    <row r="253" spans="1:17">
      <c r="A253" t="s">
        <v>506</v>
      </c>
      <c r="B253">
        <v>93</v>
      </c>
      <c r="C253">
        <v>91.3</v>
      </c>
      <c r="D253">
        <v>3.09</v>
      </c>
      <c r="E253" s="24">
        <f>D253*4.184</f>
        <v>12.928559999999999</v>
      </c>
      <c r="G253">
        <v>3.2</v>
      </c>
      <c r="H253">
        <v>3.8</v>
      </c>
      <c r="I253">
        <v>55.93</v>
      </c>
      <c r="J253">
        <v>70</v>
      </c>
      <c r="K253">
        <v>1.7</v>
      </c>
      <c r="L253">
        <v>5.53</v>
      </c>
    </row>
    <row r="254" spans="1:17" ht="15">
      <c r="A254" s="202" t="s">
        <v>308</v>
      </c>
      <c r="B254" s="202"/>
      <c r="C254" s="202"/>
      <c r="D254" s="202"/>
      <c r="E254" s="202"/>
      <c r="F254" s="202"/>
      <c r="G254" s="202"/>
      <c r="H254" s="202"/>
      <c r="I254" s="202"/>
      <c r="J254" s="202"/>
      <c r="K254" s="202"/>
      <c r="L254" s="202"/>
      <c r="M254" s="202"/>
      <c r="N254" s="202"/>
      <c r="O254" s="202"/>
      <c r="P254" s="202"/>
      <c r="Q254" s="202"/>
    </row>
    <row r="255" spans="1:17">
      <c r="A255" t="s">
        <v>507</v>
      </c>
      <c r="B255">
        <v>92</v>
      </c>
      <c r="C255">
        <v>5.8</v>
      </c>
      <c r="D255">
        <v>2.25</v>
      </c>
      <c r="E255" s="24">
        <f>D255*4.184</f>
        <v>9.4139999999999997</v>
      </c>
      <c r="G255">
        <v>2.4</v>
      </c>
      <c r="H255">
        <v>7.1</v>
      </c>
      <c r="I255">
        <v>55.53</v>
      </c>
      <c r="J255">
        <v>51</v>
      </c>
      <c r="K255">
        <v>84.7</v>
      </c>
      <c r="L255">
        <v>4.0679999999999996</v>
      </c>
      <c r="O255">
        <v>66.58</v>
      </c>
      <c r="P255">
        <v>41.45</v>
      </c>
      <c r="Q255">
        <v>2.0499999999999998</v>
      </c>
    </row>
    <row r="256" spans="1:17" ht="15">
      <c r="A256" s="202" t="s">
        <v>309</v>
      </c>
      <c r="B256" s="202"/>
      <c r="C256" s="202"/>
      <c r="D256" s="202"/>
      <c r="E256" s="202"/>
      <c r="F256" s="202"/>
      <c r="G256" s="202"/>
      <c r="H256" s="202"/>
      <c r="I256" s="202"/>
      <c r="J256" s="202"/>
      <c r="K256" s="202"/>
      <c r="L256" s="202"/>
      <c r="M256" s="202"/>
      <c r="N256" s="202"/>
      <c r="O256" s="202"/>
      <c r="P256" s="202"/>
      <c r="Q256" s="202"/>
    </row>
    <row r="257" spans="1:17">
      <c r="A257" t="s">
        <v>688</v>
      </c>
      <c r="B257">
        <v>11</v>
      </c>
      <c r="C257">
        <v>23.5</v>
      </c>
      <c r="D257">
        <v>3.31</v>
      </c>
      <c r="E257" s="24">
        <f>D257*4.184</f>
        <v>13.84904</v>
      </c>
      <c r="G257">
        <v>3.8</v>
      </c>
      <c r="H257">
        <v>14</v>
      </c>
      <c r="I257">
        <v>80.88</v>
      </c>
      <c r="J257">
        <v>75</v>
      </c>
      <c r="K257">
        <v>58.7</v>
      </c>
      <c r="L257">
        <v>4.1210000000000004</v>
      </c>
    </row>
    <row r="258" spans="1:17">
      <c r="A258" t="s">
        <v>689</v>
      </c>
      <c r="B258">
        <v>92</v>
      </c>
      <c r="C258">
        <v>38.700000000000003</v>
      </c>
      <c r="D258">
        <v>3.35</v>
      </c>
      <c r="E258" s="24">
        <f>D258*4.184</f>
        <v>14.016400000000001</v>
      </c>
      <c r="G258">
        <v>7.9</v>
      </c>
      <c r="H258">
        <v>7.5</v>
      </c>
      <c r="I258">
        <v>69.27</v>
      </c>
      <c r="J258">
        <v>76</v>
      </c>
      <c r="K258">
        <v>45.9</v>
      </c>
      <c r="L258">
        <v>4.8339999999999996</v>
      </c>
    </row>
    <row r="259" spans="1:17">
      <c r="A259" t="s">
        <v>690</v>
      </c>
      <c r="B259">
        <v>91</v>
      </c>
      <c r="C259">
        <v>40.6</v>
      </c>
      <c r="D259">
        <v>3.04</v>
      </c>
      <c r="E259" s="24">
        <f>D259*4.184</f>
        <v>12.71936</v>
      </c>
      <c r="G259">
        <v>1.8</v>
      </c>
      <c r="H259">
        <v>7.5</v>
      </c>
      <c r="I259">
        <v>67.209999999999994</v>
      </c>
      <c r="J259">
        <v>69</v>
      </c>
      <c r="K259">
        <v>50.1</v>
      </c>
      <c r="L259">
        <v>4.5419999999999998</v>
      </c>
      <c r="M259">
        <v>8.75</v>
      </c>
      <c r="N259">
        <v>1.29</v>
      </c>
      <c r="O259">
        <v>30.16</v>
      </c>
      <c r="P259">
        <v>21.42</v>
      </c>
      <c r="Q259">
        <v>8.83</v>
      </c>
    </row>
    <row r="260" spans="1:17" ht="15">
      <c r="A260" s="202" t="s">
        <v>310</v>
      </c>
      <c r="B260" s="202"/>
      <c r="C260" s="202"/>
      <c r="D260" s="202"/>
      <c r="E260" s="202"/>
      <c r="F260" s="202"/>
      <c r="G260" s="202"/>
      <c r="H260" s="202"/>
      <c r="I260" s="202"/>
      <c r="J260" s="202"/>
      <c r="K260" s="202"/>
      <c r="L260" s="202"/>
      <c r="M260" s="202"/>
      <c r="N260" s="202"/>
      <c r="O260" s="202"/>
      <c r="P260" s="202"/>
      <c r="Q260" s="202"/>
    </row>
    <row r="261" spans="1:17">
      <c r="A261" t="s">
        <v>691</v>
      </c>
      <c r="B261">
        <v>29</v>
      </c>
      <c r="C261">
        <v>11.6</v>
      </c>
      <c r="D261">
        <v>2.78</v>
      </c>
      <c r="E261" s="24">
        <f>D261*4.184</f>
        <v>11.63152</v>
      </c>
      <c r="G261">
        <v>3.9</v>
      </c>
      <c r="H261">
        <v>8.1</v>
      </c>
      <c r="I261">
        <v>66.52</v>
      </c>
      <c r="J261">
        <v>63</v>
      </c>
      <c r="K261">
        <v>76.400000000000006</v>
      </c>
      <c r="L261">
        <v>4.1929999999999996</v>
      </c>
      <c r="O261">
        <v>64</v>
      </c>
      <c r="P261">
        <v>45</v>
      </c>
      <c r="Q261">
        <v>8</v>
      </c>
    </row>
    <row r="262" spans="1:17">
      <c r="A262" t="s">
        <v>692</v>
      </c>
      <c r="B262">
        <v>94</v>
      </c>
      <c r="C262">
        <v>11.7</v>
      </c>
      <c r="D262">
        <v>2.5099999999999998</v>
      </c>
      <c r="E262" s="24">
        <f>D262*4.184</f>
        <v>10.50184</v>
      </c>
      <c r="G262">
        <v>2.6</v>
      </c>
      <c r="H262">
        <v>6.5</v>
      </c>
      <c r="I262">
        <v>60.08</v>
      </c>
      <c r="J262">
        <v>57</v>
      </c>
      <c r="K262">
        <v>79.2</v>
      </c>
      <c r="L262">
        <v>4.1920000000000002</v>
      </c>
    </row>
    <row r="263" spans="1:17" ht="15">
      <c r="A263" s="202" t="s">
        <v>311</v>
      </c>
      <c r="B263" s="202"/>
      <c r="C263" s="202"/>
      <c r="D263" s="202"/>
      <c r="E263" s="202"/>
      <c r="F263" s="202"/>
      <c r="G263" s="202"/>
      <c r="H263" s="202"/>
      <c r="I263" s="202"/>
      <c r="J263" s="202"/>
      <c r="K263" s="202"/>
      <c r="L263" s="202"/>
      <c r="M263" s="202"/>
      <c r="N263" s="202"/>
      <c r="O263" s="202"/>
      <c r="P263" s="202"/>
      <c r="Q263" s="202"/>
    </row>
    <row r="264" spans="1:17">
      <c r="A264" t="s">
        <v>693</v>
      </c>
      <c r="B264">
        <v>91</v>
      </c>
      <c r="C264">
        <v>14.1</v>
      </c>
      <c r="D264">
        <v>3.09</v>
      </c>
      <c r="E264" s="24">
        <f>D264*4.184</f>
        <v>12.928559999999999</v>
      </c>
      <c r="G264">
        <v>15.1</v>
      </c>
      <c r="H264">
        <v>12.8</v>
      </c>
      <c r="I264">
        <v>66.64</v>
      </c>
      <c r="J264">
        <v>70</v>
      </c>
      <c r="K264">
        <v>58</v>
      </c>
      <c r="L264">
        <v>4.6230000000000002</v>
      </c>
      <c r="M264">
        <v>6.33</v>
      </c>
      <c r="N264">
        <v>20.170000000000002</v>
      </c>
      <c r="O264">
        <v>26.22</v>
      </c>
      <c r="P264">
        <v>15.51</v>
      </c>
      <c r="Q264">
        <v>5.34</v>
      </c>
    </row>
    <row r="265" spans="1:17">
      <c r="A265" t="s">
        <v>694</v>
      </c>
      <c r="B265">
        <v>88.81</v>
      </c>
      <c r="C265">
        <v>8.3699999999999992</v>
      </c>
      <c r="D265">
        <v>3.65</v>
      </c>
      <c r="E265" s="24">
        <f>D265*4.184</f>
        <v>15.271599999999999</v>
      </c>
      <c r="G265">
        <v>1.84</v>
      </c>
      <c r="H265">
        <v>3.19</v>
      </c>
      <c r="I265">
        <v>86.26</v>
      </c>
      <c r="J265">
        <v>79</v>
      </c>
      <c r="K265">
        <v>86.6</v>
      </c>
      <c r="L265">
        <v>4.24</v>
      </c>
      <c r="M265">
        <v>3.35</v>
      </c>
      <c r="N265">
        <v>57.19</v>
      </c>
      <c r="O265">
        <v>16.170000000000002</v>
      </c>
      <c r="P265">
        <v>5.9</v>
      </c>
      <c r="Q265">
        <v>1.88</v>
      </c>
    </row>
    <row r="266" spans="1:17">
      <c r="A266" t="s">
        <v>695</v>
      </c>
      <c r="B266">
        <v>91.95</v>
      </c>
      <c r="C266">
        <v>5.39</v>
      </c>
      <c r="D266">
        <v>31.5</v>
      </c>
      <c r="E266" s="24">
        <f>D266*4.184</f>
        <v>131.79599999999999</v>
      </c>
      <c r="G266">
        <v>4.3099999999999996</v>
      </c>
      <c r="H266">
        <v>15.71</v>
      </c>
      <c r="I266">
        <v>834.66</v>
      </c>
      <c r="J266">
        <v>12</v>
      </c>
      <c r="K266">
        <v>74.59</v>
      </c>
      <c r="L266">
        <v>3.8050000000000002</v>
      </c>
      <c r="O266">
        <v>53.84</v>
      </c>
      <c r="P266">
        <v>52.55</v>
      </c>
      <c r="Q266" t="s">
        <v>220</v>
      </c>
    </row>
    <row r="267" spans="1:17">
      <c r="A267" t="s">
        <v>696</v>
      </c>
      <c r="B267">
        <v>91</v>
      </c>
      <c r="C267">
        <v>4.3</v>
      </c>
      <c r="D267">
        <v>1.81</v>
      </c>
      <c r="E267" s="24">
        <f>D267*4.184</f>
        <v>7.5730400000000007</v>
      </c>
      <c r="G267">
        <v>1.4</v>
      </c>
      <c r="H267">
        <v>17</v>
      </c>
      <c r="I267">
        <v>51.16</v>
      </c>
      <c r="J267">
        <v>41</v>
      </c>
      <c r="K267">
        <v>77.3</v>
      </c>
      <c r="L267">
        <v>3.5830000000000002</v>
      </c>
      <c r="O267">
        <v>82</v>
      </c>
      <c r="P267">
        <v>49</v>
      </c>
      <c r="Q267">
        <v>16</v>
      </c>
    </row>
    <row r="268" spans="1:17" ht="15">
      <c r="A268" s="202" t="s">
        <v>312</v>
      </c>
      <c r="B268" s="202"/>
      <c r="C268" s="202"/>
      <c r="D268" s="202"/>
      <c r="E268" s="202"/>
      <c r="F268" s="202"/>
      <c r="G268" s="202"/>
      <c r="H268" s="202"/>
      <c r="I268" s="202"/>
      <c r="J268" s="202"/>
      <c r="K268" s="202"/>
      <c r="L268" s="202"/>
      <c r="M268" s="202"/>
      <c r="N268" s="202"/>
      <c r="O268" s="202"/>
      <c r="P268" s="202"/>
      <c r="Q268" s="202"/>
    </row>
    <row r="269" spans="1:17">
      <c r="A269" t="s">
        <v>697</v>
      </c>
      <c r="B269">
        <v>92</v>
      </c>
      <c r="C269">
        <v>23.5</v>
      </c>
      <c r="D269">
        <v>2.69</v>
      </c>
      <c r="E269" s="24">
        <f>D269*4.184</f>
        <v>11.254960000000001</v>
      </c>
      <c r="G269">
        <v>7.8</v>
      </c>
      <c r="H269">
        <v>2.5</v>
      </c>
      <c r="I269">
        <v>55.78</v>
      </c>
      <c r="J269">
        <v>61</v>
      </c>
      <c r="K269">
        <v>66.2</v>
      </c>
      <c r="L269">
        <v>4.8079999999999998</v>
      </c>
    </row>
    <row r="270" spans="1:17">
      <c r="A270" t="s">
        <v>698</v>
      </c>
      <c r="B270">
        <v>24</v>
      </c>
      <c r="C270">
        <v>15.9</v>
      </c>
      <c r="D270">
        <v>3.04</v>
      </c>
      <c r="E270" s="24">
        <f>D270*4.184</f>
        <v>12.71936</v>
      </c>
      <c r="G270">
        <v>3.7</v>
      </c>
      <c r="H270">
        <v>8.1</v>
      </c>
      <c r="I270">
        <v>71.83</v>
      </c>
      <c r="J270">
        <v>69</v>
      </c>
      <c r="K270">
        <v>72.3</v>
      </c>
      <c r="L270">
        <v>4.2469999999999999</v>
      </c>
    </row>
    <row r="271" spans="1:17">
      <c r="A271" t="s">
        <v>699</v>
      </c>
      <c r="B271">
        <v>88</v>
      </c>
      <c r="C271">
        <v>13.8</v>
      </c>
      <c r="D271">
        <v>3.7</v>
      </c>
      <c r="E271" s="24">
        <f>D271*4.184</f>
        <v>15.480800000000002</v>
      </c>
      <c r="G271">
        <v>1.7</v>
      </c>
      <c r="H271">
        <v>1.9</v>
      </c>
      <c r="I271">
        <v>84.83</v>
      </c>
      <c r="J271">
        <v>84</v>
      </c>
      <c r="K271">
        <v>82.6</v>
      </c>
      <c r="L271">
        <v>4.367</v>
      </c>
      <c r="N271">
        <v>58.25</v>
      </c>
      <c r="O271">
        <v>15.39</v>
      </c>
      <c r="P271">
        <v>7.53</v>
      </c>
      <c r="Q271">
        <v>1.57</v>
      </c>
    </row>
    <row r="272" spans="1:17">
      <c r="A272" t="s">
        <v>700</v>
      </c>
      <c r="B272">
        <v>90</v>
      </c>
      <c r="C272">
        <v>18.5</v>
      </c>
      <c r="D272">
        <v>3.31</v>
      </c>
      <c r="E272" s="24">
        <f>D272*4.184</f>
        <v>13.84904</v>
      </c>
      <c r="G272">
        <v>3.7</v>
      </c>
      <c r="H272">
        <v>4.2</v>
      </c>
      <c r="I272">
        <v>74.5</v>
      </c>
      <c r="J272">
        <v>75</v>
      </c>
      <c r="K272">
        <v>73.599999999999994</v>
      </c>
      <c r="L272">
        <v>4.4470000000000001</v>
      </c>
    </row>
    <row r="273" spans="1:17">
      <c r="A273" t="s">
        <v>701</v>
      </c>
      <c r="B273">
        <v>90</v>
      </c>
      <c r="C273">
        <v>3</v>
      </c>
      <c r="D273">
        <v>1.37</v>
      </c>
      <c r="E273" s="24">
        <f>D273*4.184</f>
        <v>5.7320800000000007</v>
      </c>
      <c r="G273">
        <v>1.7</v>
      </c>
      <c r="H273">
        <v>5</v>
      </c>
      <c r="I273">
        <v>33.72</v>
      </c>
      <c r="J273">
        <v>31</v>
      </c>
      <c r="K273">
        <v>90.3</v>
      </c>
      <c r="L273">
        <v>4.077</v>
      </c>
    </row>
    <row r="274" spans="1:17" ht="15">
      <c r="A274" s="202" t="s">
        <v>702</v>
      </c>
      <c r="B274" s="202"/>
      <c r="C274" s="202"/>
      <c r="D274" s="202"/>
      <c r="E274" s="202"/>
      <c r="F274" s="202"/>
      <c r="G274" s="202"/>
      <c r="H274" s="202"/>
      <c r="I274" s="202"/>
      <c r="J274" s="202"/>
      <c r="K274" s="202"/>
      <c r="L274" s="202"/>
      <c r="M274" s="202"/>
      <c r="N274" s="202"/>
      <c r="O274" s="202"/>
      <c r="P274" s="202"/>
      <c r="Q274" s="202"/>
    </row>
    <row r="275" spans="1:17">
      <c r="A275" t="s">
        <v>703</v>
      </c>
      <c r="B275">
        <v>25</v>
      </c>
      <c r="C275">
        <v>14.5</v>
      </c>
      <c r="D275">
        <v>2.65</v>
      </c>
      <c r="E275" s="24">
        <f>D275*4.184</f>
        <v>11.0876</v>
      </c>
      <c r="F275">
        <v>4.5</v>
      </c>
      <c r="G275">
        <v>3.2</v>
      </c>
      <c r="H275">
        <v>14</v>
      </c>
      <c r="I275">
        <v>67.540000000000006</v>
      </c>
      <c r="J275">
        <v>60</v>
      </c>
      <c r="K275">
        <v>68.3</v>
      </c>
      <c r="L275">
        <v>3.9550000000000001</v>
      </c>
    </row>
    <row r="276" spans="1:17">
      <c r="A276" t="s">
        <v>704</v>
      </c>
      <c r="B276">
        <v>90.38</v>
      </c>
      <c r="C276">
        <v>18.649999999999999</v>
      </c>
      <c r="D276">
        <v>2.81</v>
      </c>
      <c r="E276" s="24">
        <f>D276*4.184</f>
        <v>11.75704</v>
      </c>
      <c r="F276">
        <v>4.5</v>
      </c>
      <c r="G276">
        <v>3.35</v>
      </c>
      <c r="H276">
        <v>9.6</v>
      </c>
      <c r="I276">
        <v>67.099999999999994</v>
      </c>
      <c r="J276">
        <v>62</v>
      </c>
      <c r="K276">
        <v>68.400000000000006</v>
      </c>
      <c r="L276">
        <v>4.2069999999999999</v>
      </c>
      <c r="N276">
        <v>2.2599999999999998</v>
      </c>
      <c r="O276">
        <v>51.5</v>
      </c>
      <c r="P276">
        <v>30.89</v>
      </c>
      <c r="Q276">
        <v>4.32</v>
      </c>
    </row>
    <row r="277" spans="1:17">
      <c r="A277" t="s">
        <v>705</v>
      </c>
      <c r="B277">
        <v>83</v>
      </c>
      <c r="C277">
        <v>5.5</v>
      </c>
      <c r="D277">
        <v>2.38</v>
      </c>
      <c r="E277" s="24">
        <f>D277*4.184</f>
        <v>9.9579199999999997</v>
      </c>
      <c r="F277">
        <v>4.5</v>
      </c>
      <c r="G277">
        <v>0.9</v>
      </c>
      <c r="H277">
        <v>8.4</v>
      </c>
      <c r="I277">
        <v>60.93</v>
      </c>
      <c r="J277">
        <v>54</v>
      </c>
      <c r="K277">
        <v>85.2</v>
      </c>
      <c r="L277">
        <v>3.931</v>
      </c>
    </row>
    <row r="278" spans="1:17" ht="15">
      <c r="A278" s="202" t="s">
        <v>706</v>
      </c>
      <c r="B278" s="202"/>
      <c r="C278" s="202"/>
      <c r="D278" s="202"/>
      <c r="E278" s="202"/>
      <c r="F278" s="202"/>
      <c r="G278" s="202"/>
      <c r="H278" s="202"/>
      <c r="I278" s="202"/>
      <c r="J278" s="202"/>
      <c r="K278" s="202"/>
      <c r="L278" s="202"/>
      <c r="M278" s="202"/>
      <c r="N278" s="202"/>
      <c r="O278" s="202"/>
      <c r="P278" s="202"/>
      <c r="Q278" s="202"/>
    </row>
    <row r="279" spans="1:17">
      <c r="A279" t="s">
        <v>707</v>
      </c>
      <c r="B279">
        <v>27</v>
      </c>
      <c r="C279">
        <v>10.4</v>
      </c>
      <c r="D279">
        <v>3</v>
      </c>
      <c r="E279" s="24">
        <f>D279*4.184</f>
        <v>12.552</v>
      </c>
      <c r="F279">
        <v>4.5</v>
      </c>
      <c r="G279">
        <v>2.7</v>
      </c>
      <c r="H279">
        <v>8.6</v>
      </c>
      <c r="I279">
        <v>73.680000000000007</v>
      </c>
      <c r="J279">
        <v>68</v>
      </c>
      <c r="K279">
        <v>78.3</v>
      </c>
      <c r="L279">
        <v>4.0910000000000002</v>
      </c>
    </row>
    <row r="280" spans="1:17">
      <c r="A280" t="s">
        <v>708</v>
      </c>
      <c r="B280">
        <v>86</v>
      </c>
      <c r="C280">
        <v>8.6</v>
      </c>
      <c r="D280">
        <v>2.65</v>
      </c>
      <c r="E280" s="24">
        <f>D280*4.184</f>
        <v>11.0876</v>
      </c>
      <c r="F280">
        <v>4.5</v>
      </c>
      <c r="G280">
        <v>2.2000000000000002</v>
      </c>
      <c r="H280">
        <v>11.5</v>
      </c>
      <c r="I280">
        <v>68.14</v>
      </c>
      <c r="J280">
        <v>60</v>
      </c>
      <c r="K280">
        <v>77.7</v>
      </c>
      <c r="L280">
        <v>3.9169999999999998</v>
      </c>
      <c r="O280">
        <v>41</v>
      </c>
      <c r="P280">
        <v>30</v>
      </c>
      <c r="Q280">
        <v>2</v>
      </c>
    </row>
    <row r="281" spans="1:17" ht="15">
      <c r="A281" s="202" t="s">
        <v>313</v>
      </c>
      <c r="B281" s="202"/>
      <c r="C281" s="202"/>
      <c r="D281" s="202"/>
      <c r="E281" s="202"/>
      <c r="F281" s="202"/>
      <c r="G281" s="202"/>
      <c r="H281" s="202"/>
      <c r="I281" s="202"/>
      <c r="J281" s="202"/>
      <c r="K281" s="202"/>
      <c r="L281" s="202"/>
      <c r="M281" s="202"/>
      <c r="N281" s="202"/>
      <c r="O281" s="202"/>
      <c r="P281" s="202"/>
      <c r="Q281" s="202"/>
    </row>
    <row r="282" spans="1:17">
      <c r="A282" t="s">
        <v>709</v>
      </c>
      <c r="B282">
        <v>94</v>
      </c>
      <c r="C282">
        <v>17.399999999999999</v>
      </c>
      <c r="D282">
        <v>3.92</v>
      </c>
      <c r="E282" s="24">
        <f>D282*4.184</f>
        <v>16.40128</v>
      </c>
      <c r="G282">
        <v>35.1</v>
      </c>
      <c r="H282">
        <v>3.1</v>
      </c>
      <c r="I282">
        <v>62.89</v>
      </c>
      <c r="J282">
        <v>89</v>
      </c>
      <c r="K282">
        <v>44.4</v>
      </c>
      <c r="L282">
        <v>6.125</v>
      </c>
    </row>
    <row r="283" spans="1:17">
      <c r="A283" t="s">
        <v>710</v>
      </c>
      <c r="B283">
        <v>91</v>
      </c>
      <c r="C283">
        <v>22.1</v>
      </c>
      <c r="D283">
        <v>2.65</v>
      </c>
      <c r="E283" s="24">
        <f>D283*4.184</f>
        <v>11.0876</v>
      </c>
      <c r="G283">
        <v>6.7</v>
      </c>
      <c r="H283">
        <v>4.0999999999999996</v>
      </c>
      <c r="I283">
        <v>56.75</v>
      </c>
      <c r="J283">
        <v>60</v>
      </c>
      <c r="K283">
        <v>67.099999999999994</v>
      </c>
      <c r="L283">
        <v>4.6630000000000003</v>
      </c>
      <c r="M283">
        <v>59</v>
      </c>
      <c r="N283">
        <v>41</v>
      </c>
    </row>
    <row r="284" spans="1:17">
      <c r="A284" t="s">
        <v>711</v>
      </c>
      <c r="B284">
        <v>93.5</v>
      </c>
      <c r="C284">
        <v>23.12</v>
      </c>
      <c r="D284">
        <v>2.46</v>
      </c>
      <c r="E284" s="24">
        <f>D284*4.184</f>
        <v>10.29264</v>
      </c>
      <c r="G284">
        <v>12.34</v>
      </c>
      <c r="H284">
        <v>4.8499999999999996</v>
      </c>
      <c r="I284">
        <v>49.52</v>
      </c>
      <c r="J284">
        <v>57</v>
      </c>
      <c r="K284">
        <v>59.69</v>
      </c>
      <c r="L284">
        <v>4.9429999999999996</v>
      </c>
      <c r="M284">
        <v>3.96</v>
      </c>
      <c r="N284">
        <v>1.1499999999999999</v>
      </c>
      <c r="O284">
        <v>51.48</v>
      </c>
      <c r="P284">
        <v>37.619999999999997</v>
      </c>
      <c r="Q284">
        <v>13.45</v>
      </c>
    </row>
    <row r="285" spans="1:17">
      <c r="A285" t="s">
        <v>712</v>
      </c>
      <c r="B285">
        <v>92</v>
      </c>
      <c r="C285">
        <v>46.9</v>
      </c>
      <c r="D285">
        <v>3.22</v>
      </c>
      <c r="E285" s="24">
        <f>D285*4.184</f>
        <v>13.472480000000001</v>
      </c>
      <c r="G285">
        <v>1.4</v>
      </c>
      <c r="H285">
        <v>8.1999999999999993</v>
      </c>
      <c r="I285">
        <v>70.55</v>
      </c>
      <c r="J285">
        <v>73</v>
      </c>
      <c r="K285">
        <v>43.5</v>
      </c>
      <c r="L285">
        <v>4.5869999999999997</v>
      </c>
    </row>
    <row r="286" spans="1:17" ht="15">
      <c r="A286" s="202" t="s">
        <v>713</v>
      </c>
      <c r="B286" s="202"/>
      <c r="C286" s="202"/>
      <c r="D286" s="202"/>
      <c r="E286" s="202"/>
      <c r="F286" s="202"/>
      <c r="G286" s="202"/>
      <c r="H286" s="202"/>
      <c r="I286" s="202"/>
      <c r="J286" s="202"/>
      <c r="K286" s="202"/>
      <c r="L286" s="202"/>
      <c r="M286" s="202"/>
      <c r="N286" s="202"/>
      <c r="O286" s="202"/>
      <c r="P286" s="202"/>
      <c r="Q286" s="202"/>
    </row>
    <row r="287" spans="1:17">
      <c r="A287" t="s">
        <v>714</v>
      </c>
      <c r="B287">
        <v>65</v>
      </c>
      <c r="C287">
        <v>8.5</v>
      </c>
      <c r="D287">
        <v>2.16</v>
      </c>
      <c r="E287" s="24">
        <f>D287*4.184</f>
        <v>9.0374400000000001</v>
      </c>
      <c r="G287">
        <v>10.8</v>
      </c>
      <c r="H287">
        <v>5.5</v>
      </c>
      <c r="I287">
        <v>46.62</v>
      </c>
      <c r="J287">
        <v>49</v>
      </c>
      <c r="K287">
        <v>75.2</v>
      </c>
      <c r="L287">
        <v>4.6159999999999997</v>
      </c>
      <c r="O287">
        <v>42</v>
      </c>
      <c r="P287">
        <v>30</v>
      </c>
      <c r="Q287">
        <v>12</v>
      </c>
    </row>
    <row r="288" spans="1:17" ht="15">
      <c r="A288" s="202" t="s">
        <v>715</v>
      </c>
      <c r="B288" s="202"/>
      <c r="C288" s="202"/>
      <c r="D288" s="202"/>
      <c r="E288" s="202"/>
      <c r="F288" s="202"/>
      <c r="G288" s="202"/>
      <c r="H288" s="202"/>
      <c r="I288" s="202"/>
      <c r="J288" s="202"/>
      <c r="K288" s="202"/>
      <c r="L288" s="202"/>
      <c r="M288" s="202"/>
      <c r="N288" s="202"/>
      <c r="O288" s="202"/>
      <c r="P288" s="202"/>
      <c r="Q288" s="202"/>
    </row>
    <row r="289" spans="1:17">
      <c r="A289" t="s">
        <v>716</v>
      </c>
      <c r="B289">
        <v>65</v>
      </c>
      <c r="C289">
        <v>9.3000000000000007</v>
      </c>
      <c r="D289">
        <v>2.21</v>
      </c>
      <c r="E289" s="24">
        <f>D289*4.184</f>
        <v>9.2466400000000011</v>
      </c>
      <c r="G289">
        <v>11</v>
      </c>
      <c r="H289">
        <v>6.6</v>
      </c>
      <c r="I289">
        <v>47.96</v>
      </c>
      <c r="J289">
        <v>50</v>
      </c>
      <c r="K289">
        <v>73.099999999999994</v>
      </c>
      <c r="L289">
        <v>4.593</v>
      </c>
    </row>
    <row r="290" spans="1:17" ht="15">
      <c r="A290" s="202" t="s">
        <v>717</v>
      </c>
      <c r="B290" s="202"/>
      <c r="C290" s="202"/>
      <c r="D290" s="202"/>
      <c r="E290" s="202"/>
      <c r="F290" s="202"/>
      <c r="G290" s="202"/>
      <c r="H290" s="202"/>
      <c r="I290" s="202"/>
      <c r="J290" s="202"/>
      <c r="K290" s="202"/>
      <c r="L290" s="202"/>
      <c r="M290" s="202"/>
      <c r="N290" s="202"/>
      <c r="O290" s="202"/>
      <c r="P290" s="202"/>
      <c r="Q290" s="202"/>
    </row>
    <row r="291" spans="1:17">
      <c r="A291" t="s">
        <v>718</v>
      </c>
      <c r="B291">
        <v>23</v>
      </c>
      <c r="C291">
        <v>17.3</v>
      </c>
      <c r="D291">
        <v>2.25</v>
      </c>
      <c r="E291" s="24">
        <f>D291*4.184</f>
        <v>9.4139999999999997</v>
      </c>
      <c r="G291">
        <v>4.9000000000000004</v>
      </c>
      <c r="H291">
        <v>21.4</v>
      </c>
      <c r="I291">
        <v>60.24</v>
      </c>
      <c r="J291">
        <v>51</v>
      </c>
      <c r="K291">
        <v>56.4</v>
      </c>
      <c r="L291">
        <v>3.7789999999999999</v>
      </c>
    </row>
    <row r="292" spans="1:17">
      <c r="A292" t="s">
        <v>719</v>
      </c>
      <c r="B292">
        <v>32</v>
      </c>
      <c r="C292">
        <v>17.5</v>
      </c>
      <c r="D292">
        <v>2.29</v>
      </c>
      <c r="E292" s="24">
        <f>D292*4.184</f>
        <v>9.5813600000000001</v>
      </c>
      <c r="G292">
        <v>2.5</v>
      </c>
      <c r="H292">
        <v>21.6</v>
      </c>
      <c r="I292">
        <v>63.7</v>
      </c>
      <c r="J292">
        <v>52</v>
      </c>
      <c r="K292">
        <v>58.4</v>
      </c>
      <c r="L292">
        <v>3.6469999999999998</v>
      </c>
    </row>
    <row r="293" spans="1:17" ht="15">
      <c r="A293" s="202" t="s">
        <v>720</v>
      </c>
      <c r="B293" s="202"/>
      <c r="C293" s="202"/>
      <c r="D293" s="202"/>
      <c r="E293" s="202"/>
      <c r="F293" s="202"/>
      <c r="G293" s="202"/>
      <c r="H293" s="202"/>
      <c r="I293" s="202"/>
      <c r="J293" s="202"/>
      <c r="K293" s="202"/>
      <c r="L293" s="202"/>
      <c r="M293" s="202"/>
      <c r="N293" s="202"/>
      <c r="O293" s="202"/>
      <c r="P293" s="202"/>
      <c r="Q293" s="202"/>
    </row>
    <row r="294" spans="1:17">
      <c r="A294" t="s">
        <v>721</v>
      </c>
      <c r="B294">
        <v>43</v>
      </c>
      <c r="C294">
        <v>9.4</v>
      </c>
      <c r="D294">
        <v>2.56</v>
      </c>
      <c r="E294" s="24">
        <f>D294*4.184</f>
        <v>10.711040000000001</v>
      </c>
      <c r="G294">
        <v>2</v>
      </c>
      <c r="H294">
        <v>6.5</v>
      </c>
      <c r="I294">
        <v>62.29</v>
      </c>
      <c r="J294">
        <v>58</v>
      </c>
      <c r="K294">
        <v>82.1</v>
      </c>
      <c r="L294">
        <v>4.1260000000000003</v>
      </c>
    </row>
    <row r="295" spans="1:17">
      <c r="A295" t="s">
        <v>722</v>
      </c>
      <c r="B295">
        <v>60</v>
      </c>
      <c r="C295">
        <v>7.1</v>
      </c>
      <c r="D295">
        <v>2.25</v>
      </c>
      <c r="E295" s="24">
        <f>D295*4.184</f>
        <v>9.4139999999999997</v>
      </c>
      <c r="G295">
        <v>3.4</v>
      </c>
      <c r="H295">
        <v>17.100000000000001</v>
      </c>
      <c r="I295">
        <v>61.02</v>
      </c>
      <c r="J295">
        <v>51</v>
      </c>
      <c r="K295">
        <v>72.400000000000006</v>
      </c>
      <c r="L295">
        <v>3.7250000000000001</v>
      </c>
      <c r="O295">
        <v>46</v>
      </c>
      <c r="P295">
        <v>35</v>
      </c>
      <c r="Q295">
        <v>10</v>
      </c>
    </row>
    <row r="296" spans="1:17" ht="15">
      <c r="A296" s="202" t="s">
        <v>723</v>
      </c>
      <c r="B296" s="202"/>
      <c r="C296" s="202"/>
      <c r="D296" s="202"/>
      <c r="E296" s="202"/>
      <c r="F296" s="202"/>
      <c r="G296" s="202"/>
      <c r="H296" s="202"/>
      <c r="I296" s="202"/>
      <c r="J296" s="202"/>
      <c r="K296" s="202"/>
      <c r="L296" s="202"/>
      <c r="M296" s="202"/>
      <c r="N296" s="202"/>
      <c r="O296" s="202"/>
      <c r="P296" s="202"/>
      <c r="Q296" s="202"/>
    </row>
    <row r="297" spans="1:17">
      <c r="A297" t="s">
        <v>724</v>
      </c>
      <c r="B297">
        <v>55</v>
      </c>
      <c r="C297">
        <v>7.2</v>
      </c>
      <c r="D297">
        <v>1.59</v>
      </c>
      <c r="E297" s="24">
        <f>D297*4.184</f>
        <v>6.6525600000000003</v>
      </c>
      <c r="G297">
        <v>2.2000000000000002</v>
      </c>
      <c r="H297">
        <v>21.5</v>
      </c>
      <c r="I297">
        <v>46.38</v>
      </c>
      <c r="J297">
        <v>36</v>
      </c>
      <c r="K297">
        <v>69.099999999999994</v>
      </c>
      <c r="L297">
        <v>3.4809999999999999</v>
      </c>
    </row>
    <row r="298" spans="1:17" ht="15">
      <c r="A298" s="202" t="s">
        <v>314</v>
      </c>
      <c r="B298" s="202"/>
      <c r="C298" s="202"/>
      <c r="D298" s="202"/>
      <c r="E298" s="202"/>
      <c r="F298" s="202"/>
      <c r="G298" s="202"/>
      <c r="H298" s="202"/>
      <c r="I298" s="202"/>
      <c r="J298" s="202"/>
      <c r="K298" s="202"/>
      <c r="L298" s="202"/>
      <c r="M298" s="202"/>
      <c r="N298" s="202"/>
      <c r="O298" s="202"/>
      <c r="P298" s="202"/>
      <c r="Q298" s="202"/>
    </row>
    <row r="299" spans="1:17">
      <c r="A299" t="s">
        <v>725</v>
      </c>
      <c r="B299">
        <v>74</v>
      </c>
      <c r="C299">
        <v>4.2</v>
      </c>
      <c r="D299">
        <v>2.34</v>
      </c>
      <c r="E299" s="24">
        <f>D299*4.184</f>
        <v>9.7905599999999993</v>
      </c>
      <c r="G299">
        <v>2.6</v>
      </c>
      <c r="H299">
        <v>7.3</v>
      </c>
      <c r="I299">
        <v>58.06</v>
      </c>
      <c r="J299">
        <v>53</v>
      </c>
      <c r="K299">
        <v>85.9</v>
      </c>
      <c r="L299">
        <v>4.0469999999999997</v>
      </c>
    </row>
    <row r="300" spans="1:17">
      <c r="A300" t="s">
        <v>726</v>
      </c>
      <c r="B300">
        <v>89</v>
      </c>
      <c r="C300">
        <v>8.9</v>
      </c>
      <c r="D300">
        <v>2.25</v>
      </c>
      <c r="E300" s="24">
        <f>D300*4.184</f>
        <v>9.4139999999999997</v>
      </c>
      <c r="G300">
        <v>2.1</v>
      </c>
      <c r="H300">
        <v>12.7</v>
      </c>
      <c r="I300">
        <v>58.67</v>
      </c>
      <c r="J300">
        <v>51</v>
      </c>
      <c r="K300">
        <v>76.3</v>
      </c>
      <c r="L300">
        <v>3.867</v>
      </c>
    </row>
    <row r="301" spans="1:17" ht="15">
      <c r="A301" s="202" t="s">
        <v>315</v>
      </c>
      <c r="B301" s="202"/>
      <c r="C301" s="202"/>
      <c r="D301" s="202"/>
      <c r="E301" s="202"/>
      <c r="F301" s="202"/>
      <c r="G301" s="202"/>
      <c r="H301" s="202"/>
      <c r="I301" s="202"/>
      <c r="J301" s="202"/>
      <c r="K301" s="202"/>
      <c r="L301" s="202"/>
      <c r="M301" s="202"/>
      <c r="N301" s="202"/>
      <c r="O301" s="202"/>
      <c r="P301" s="202"/>
      <c r="Q301" s="202"/>
    </row>
    <row r="302" spans="1:17">
      <c r="A302" t="s">
        <v>727</v>
      </c>
      <c r="B302">
        <v>91</v>
      </c>
      <c r="C302">
        <v>7.1</v>
      </c>
      <c r="D302">
        <v>1.41</v>
      </c>
      <c r="E302" s="24">
        <f>D302*4.184</f>
        <v>5.8994400000000002</v>
      </c>
      <c r="G302">
        <v>0.5</v>
      </c>
      <c r="H302">
        <v>38.6</v>
      </c>
      <c r="I302">
        <v>54.67</v>
      </c>
      <c r="J302">
        <v>32</v>
      </c>
      <c r="K302">
        <v>53.8</v>
      </c>
      <c r="L302">
        <v>2.681</v>
      </c>
    </row>
    <row r="303" spans="1:17" ht="15">
      <c r="A303" s="202" t="s">
        <v>316</v>
      </c>
      <c r="B303" s="202"/>
      <c r="C303" s="202"/>
      <c r="D303" s="202"/>
      <c r="E303" s="202"/>
      <c r="F303" s="202"/>
      <c r="G303" s="202"/>
      <c r="H303" s="202"/>
      <c r="I303" s="202"/>
      <c r="J303" s="202"/>
      <c r="K303" s="202"/>
      <c r="L303" s="202"/>
      <c r="M303" s="202"/>
      <c r="N303" s="202"/>
      <c r="O303" s="202"/>
      <c r="P303" s="202"/>
      <c r="Q303" s="202"/>
    </row>
    <row r="304" spans="1:17">
      <c r="A304" t="s">
        <v>728</v>
      </c>
      <c r="B304">
        <v>89</v>
      </c>
      <c r="C304">
        <v>9.4</v>
      </c>
      <c r="D304">
        <v>2.29</v>
      </c>
      <c r="E304" s="24">
        <f>D304*4.184</f>
        <v>9.5813600000000001</v>
      </c>
      <c r="G304">
        <v>2.4</v>
      </c>
      <c r="H304">
        <v>7.2</v>
      </c>
      <c r="I304">
        <v>55.83</v>
      </c>
      <c r="J304">
        <v>52</v>
      </c>
      <c r="K304">
        <v>81</v>
      </c>
      <c r="L304">
        <v>4.1180000000000003</v>
      </c>
    </row>
    <row r="305" spans="1:17" ht="15">
      <c r="A305" s="202" t="s">
        <v>317</v>
      </c>
      <c r="B305" s="202"/>
      <c r="C305" s="202"/>
      <c r="D305" s="202"/>
      <c r="E305" s="202"/>
      <c r="F305" s="202"/>
      <c r="G305" s="202"/>
      <c r="H305" s="202"/>
      <c r="I305" s="202"/>
      <c r="J305" s="202"/>
      <c r="K305" s="202"/>
      <c r="L305" s="202"/>
      <c r="M305" s="202"/>
      <c r="N305" s="202"/>
      <c r="O305" s="202"/>
      <c r="P305" s="202"/>
      <c r="Q305" s="202"/>
    </row>
    <row r="306" spans="1:17">
      <c r="A306" t="s">
        <v>729</v>
      </c>
      <c r="B306">
        <v>93</v>
      </c>
      <c r="C306">
        <v>49.1</v>
      </c>
      <c r="D306">
        <v>3.4</v>
      </c>
      <c r="E306" s="24">
        <f>D306*4.184</f>
        <v>14.2256</v>
      </c>
      <c r="G306">
        <v>7.5</v>
      </c>
      <c r="H306">
        <v>12.1</v>
      </c>
      <c r="I306">
        <v>71.319999999999993</v>
      </c>
      <c r="J306">
        <v>77</v>
      </c>
      <c r="K306">
        <v>31.3</v>
      </c>
      <c r="L306">
        <v>4.7779999999999996</v>
      </c>
      <c r="O306">
        <v>17</v>
      </c>
      <c r="P306">
        <v>17</v>
      </c>
      <c r="Q306">
        <v>2</v>
      </c>
    </row>
    <row r="307" spans="1:17">
      <c r="A307" t="s">
        <v>730</v>
      </c>
      <c r="B307">
        <v>93</v>
      </c>
      <c r="C307">
        <v>0</v>
      </c>
      <c r="D307">
        <v>3.09</v>
      </c>
      <c r="E307" s="24">
        <f>D307*4.184</f>
        <v>12.928559999999999</v>
      </c>
      <c r="J307">
        <v>70</v>
      </c>
      <c r="K307">
        <v>100</v>
      </c>
      <c r="L307">
        <v>4.1500000000000004</v>
      </c>
      <c r="O307">
        <v>99</v>
      </c>
      <c r="P307">
        <v>79</v>
      </c>
      <c r="Q307">
        <v>4</v>
      </c>
    </row>
    <row r="308" spans="1:17" ht="15">
      <c r="A308" s="202" t="s">
        <v>318</v>
      </c>
      <c r="B308" s="202"/>
      <c r="C308" s="202"/>
      <c r="D308" s="202"/>
      <c r="E308" s="202"/>
      <c r="F308" s="202"/>
      <c r="G308" s="202"/>
      <c r="H308" s="202"/>
      <c r="I308" s="202"/>
      <c r="J308" s="202"/>
      <c r="K308" s="202"/>
      <c r="L308" s="202"/>
      <c r="M308" s="202"/>
      <c r="N308" s="202"/>
      <c r="O308" s="202"/>
      <c r="P308" s="202"/>
      <c r="Q308" s="202"/>
    </row>
    <row r="309" spans="1:17">
      <c r="A309" t="s">
        <v>731</v>
      </c>
      <c r="B309">
        <v>89</v>
      </c>
      <c r="C309">
        <v>7.5</v>
      </c>
      <c r="D309">
        <v>2.56</v>
      </c>
      <c r="E309" s="24">
        <f t="shared" ref="E309:E318" si="6">D309*4.184</f>
        <v>10.711040000000001</v>
      </c>
      <c r="G309">
        <v>2.4</v>
      </c>
      <c r="H309">
        <v>9.4</v>
      </c>
      <c r="I309">
        <v>64.38</v>
      </c>
      <c r="J309">
        <v>58</v>
      </c>
      <c r="K309">
        <v>80.7</v>
      </c>
      <c r="L309">
        <v>3.9980000000000002</v>
      </c>
    </row>
    <row r="310" spans="1:17">
      <c r="A310" t="s">
        <v>732</v>
      </c>
      <c r="B310">
        <v>88</v>
      </c>
      <c r="C310">
        <v>5.2</v>
      </c>
      <c r="D310">
        <v>2.38</v>
      </c>
      <c r="E310" s="24">
        <f t="shared" si="6"/>
        <v>9.9579199999999997</v>
      </c>
      <c r="G310">
        <v>1.7</v>
      </c>
      <c r="H310">
        <v>11</v>
      </c>
      <c r="I310">
        <v>62.11</v>
      </c>
      <c r="J310">
        <v>54</v>
      </c>
      <c r="K310">
        <v>82.1</v>
      </c>
      <c r="L310">
        <v>3.8610000000000002</v>
      </c>
      <c r="N310">
        <v>7.33</v>
      </c>
      <c r="O310">
        <v>56.44</v>
      </c>
      <c r="P310">
        <v>36.49</v>
      </c>
      <c r="Q310">
        <v>2.9</v>
      </c>
    </row>
    <row r="311" spans="1:17">
      <c r="A311" t="s">
        <v>733</v>
      </c>
      <c r="B311">
        <v>94</v>
      </c>
      <c r="C311">
        <v>34.4</v>
      </c>
      <c r="D311">
        <v>3.66</v>
      </c>
      <c r="E311" s="24">
        <f t="shared" si="6"/>
        <v>15.313440000000002</v>
      </c>
      <c r="G311">
        <v>9.5</v>
      </c>
      <c r="H311">
        <v>3.8</v>
      </c>
      <c r="I311">
        <v>72.849999999999994</v>
      </c>
      <c r="J311">
        <v>83</v>
      </c>
      <c r="K311">
        <v>52.3</v>
      </c>
      <c r="L311">
        <v>5.0069999999999997</v>
      </c>
    </row>
    <row r="312" spans="1:17">
      <c r="A312" t="s">
        <v>734</v>
      </c>
      <c r="B312">
        <v>31.4</v>
      </c>
      <c r="C312">
        <v>34.4</v>
      </c>
      <c r="D312">
        <v>3.66</v>
      </c>
      <c r="E312" s="24">
        <f t="shared" si="6"/>
        <v>15.313440000000002</v>
      </c>
      <c r="G312">
        <v>11.25</v>
      </c>
      <c r="H312">
        <v>3.8</v>
      </c>
      <c r="I312">
        <v>71.459999999999994</v>
      </c>
      <c r="J312">
        <v>83</v>
      </c>
      <c r="K312">
        <v>50.55</v>
      </c>
      <c r="L312">
        <v>5.0990000000000002</v>
      </c>
      <c r="O312">
        <v>37</v>
      </c>
      <c r="P312">
        <v>27.6</v>
      </c>
    </row>
    <row r="313" spans="1:17">
      <c r="A313" t="s">
        <v>735</v>
      </c>
      <c r="B313">
        <v>88</v>
      </c>
      <c r="C313">
        <v>7.7</v>
      </c>
      <c r="D313">
        <v>3.75</v>
      </c>
      <c r="E313" s="24">
        <f t="shared" si="6"/>
        <v>15.690000000000001</v>
      </c>
      <c r="F313">
        <v>4.4050000000000002</v>
      </c>
      <c r="G313">
        <v>3</v>
      </c>
      <c r="J313">
        <v>85</v>
      </c>
      <c r="K313">
        <v>89.3</v>
      </c>
      <c r="L313">
        <v>4.423</v>
      </c>
    </row>
    <row r="314" spans="1:17">
      <c r="A314" t="s">
        <v>736</v>
      </c>
      <c r="B314">
        <v>87</v>
      </c>
      <c r="C314">
        <v>10.1</v>
      </c>
      <c r="D314">
        <v>3.7</v>
      </c>
      <c r="E314" s="24">
        <f t="shared" si="6"/>
        <v>15.480800000000002</v>
      </c>
      <c r="G314">
        <v>3.4</v>
      </c>
      <c r="H314">
        <v>2.1</v>
      </c>
      <c r="I314">
        <v>84.23</v>
      </c>
      <c r="J314">
        <v>84</v>
      </c>
      <c r="K314">
        <v>84.4</v>
      </c>
      <c r="L314">
        <v>4.3929999999999998</v>
      </c>
    </row>
    <row r="315" spans="1:17">
      <c r="A315" t="s">
        <v>737</v>
      </c>
      <c r="B315">
        <v>88.7</v>
      </c>
      <c r="C315">
        <v>11.64</v>
      </c>
      <c r="D315">
        <v>3.79</v>
      </c>
      <c r="E315" s="24">
        <f t="shared" si="6"/>
        <v>15.85736</v>
      </c>
      <c r="G315">
        <v>3.5</v>
      </c>
      <c r="H315">
        <v>2.09</v>
      </c>
      <c r="I315">
        <v>85.71</v>
      </c>
      <c r="J315">
        <v>83</v>
      </c>
      <c r="K315">
        <v>82.77</v>
      </c>
      <c r="L315">
        <v>4.4219999999999997</v>
      </c>
      <c r="M315">
        <v>0.1</v>
      </c>
      <c r="N315">
        <v>71.16</v>
      </c>
      <c r="O315">
        <v>7.2</v>
      </c>
      <c r="P315">
        <v>4.57</v>
      </c>
      <c r="Q315">
        <v>1.1499999999999999</v>
      </c>
    </row>
    <row r="316" spans="1:17">
      <c r="A316" t="s">
        <v>738</v>
      </c>
      <c r="B316">
        <v>85</v>
      </c>
      <c r="C316">
        <v>10.19</v>
      </c>
      <c r="D316">
        <v>4.0599999999999996</v>
      </c>
      <c r="E316" s="24">
        <f t="shared" si="6"/>
        <v>16.98704</v>
      </c>
      <c r="G316">
        <v>2.4</v>
      </c>
      <c r="H316">
        <v>2.1</v>
      </c>
      <c r="I316">
        <v>93.594750000000005</v>
      </c>
      <c r="J316">
        <v>92</v>
      </c>
      <c r="K316">
        <v>85.31</v>
      </c>
      <c r="L316">
        <v>4.3419999999999996</v>
      </c>
      <c r="N316">
        <v>75.180000000000007</v>
      </c>
      <c r="O316">
        <v>9.6999999999999993</v>
      </c>
      <c r="P316">
        <v>6.26</v>
      </c>
    </row>
    <row r="317" spans="1:17">
      <c r="A317" t="s">
        <v>739</v>
      </c>
      <c r="B317">
        <v>70</v>
      </c>
      <c r="C317">
        <v>10.19</v>
      </c>
      <c r="D317">
        <v>4.0999999999999996</v>
      </c>
      <c r="E317" s="24">
        <f t="shared" si="6"/>
        <v>17.154399999999999</v>
      </c>
      <c r="G317">
        <v>2.4</v>
      </c>
      <c r="H317">
        <v>2.1</v>
      </c>
      <c r="I317">
        <v>94.516869999999997</v>
      </c>
      <c r="J317">
        <v>93</v>
      </c>
      <c r="K317">
        <v>85.31</v>
      </c>
      <c r="L317">
        <v>4.3419999999999996</v>
      </c>
      <c r="N317">
        <v>72.89</v>
      </c>
      <c r="O317">
        <v>9.2799999999999994</v>
      </c>
      <c r="P317">
        <v>5.52</v>
      </c>
    </row>
    <row r="318" spans="1:17">
      <c r="A318" t="s">
        <v>740</v>
      </c>
      <c r="B318">
        <v>30</v>
      </c>
      <c r="C318">
        <v>7.5</v>
      </c>
      <c r="D318">
        <v>2.65</v>
      </c>
      <c r="E318" s="24">
        <f t="shared" si="6"/>
        <v>11.0876</v>
      </c>
      <c r="G318">
        <v>3</v>
      </c>
      <c r="H318">
        <v>8.6999999999999993</v>
      </c>
      <c r="I318">
        <v>65.58</v>
      </c>
      <c r="J318">
        <v>60</v>
      </c>
      <c r="K318">
        <v>80.8</v>
      </c>
      <c r="L318">
        <v>4.0590000000000002</v>
      </c>
      <c r="M318">
        <v>0.19</v>
      </c>
      <c r="N318">
        <v>4.63</v>
      </c>
      <c r="O318">
        <v>49.17</v>
      </c>
      <c r="P318">
        <v>31.08</v>
      </c>
      <c r="Q318">
        <v>5.64</v>
      </c>
    </row>
    <row r="319" spans="1:17" ht="15">
      <c r="A319" s="202" t="s">
        <v>742</v>
      </c>
      <c r="B319" s="202"/>
      <c r="C319" s="202"/>
      <c r="D319" s="202"/>
      <c r="E319" s="202"/>
      <c r="F319" s="202"/>
      <c r="G319" s="202"/>
      <c r="H319" s="202"/>
      <c r="I319" s="202"/>
      <c r="J319" s="202"/>
      <c r="K319" s="202"/>
      <c r="L319" s="202"/>
      <c r="M319" s="202"/>
      <c r="N319" s="202"/>
      <c r="O319" s="202"/>
      <c r="P319" s="202"/>
      <c r="Q319" s="202"/>
    </row>
    <row r="320" spans="1:17">
      <c r="A320" t="s">
        <v>741</v>
      </c>
      <c r="B320">
        <v>89</v>
      </c>
      <c r="C320">
        <v>9.5</v>
      </c>
      <c r="D320">
        <v>2.34</v>
      </c>
      <c r="E320" s="24">
        <f>D320*4.184</f>
        <v>9.7905599999999993</v>
      </c>
      <c r="G320">
        <v>2.4</v>
      </c>
      <c r="H320">
        <v>8.1999999999999993</v>
      </c>
      <c r="I320">
        <v>57.65</v>
      </c>
      <c r="J320">
        <v>53</v>
      </c>
      <c r="K320">
        <v>79.900000000000006</v>
      </c>
      <c r="L320">
        <v>4.0780000000000003</v>
      </c>
    </row>
    <row r="321" spans="1:17" ht="15">
      <c r="A321" s="202" t="s">
        <v>743</v>
      </c>
      <c r="B321" s="202"/>
      <c r="C321" s="202"/>
      <c r="D321" s="202"/>
      <c r="E321" s="202"/>
      <c r="F321" s="202"/>
      <c r="G321" s="202"/>
      <c r="H321" s="202"/>
      <c r="I321" s="202"/>
      <c r="J321" s="202"/>
      <c r="K321" s="202"/>
      <c r="L321" s="202"/>
      <c r="M321" s="202"/>
      <c r="N321" s="202"/>
      <c r="O321" s="202"/>
      <c r="P321" s="202"/>
      <c r="Q321" s="202"/>
    </row>
    <row r="322" spans="1:17">
      <c r="A322" t="s">
        <v>744</v>
      </c>
      <c r="B322">
        <v>27</v>
      </c>
      <c r="C322">
        <v>6.2</v>
      </c>
      <c r="D322">
        <v>2.56</v>
      </c>
      <c r="E322" s="24">
        <f>D322*4.184</f>
        <v>10.711040000000001</v>
      </c>
      <c r="G322">
        <v>2.6</v>
      </c>
      <c r="H322">
        <v>6.4</v>
      </c>
      <c r="I322">
        <v>62.44</v>
      </c>
      <c r="J322">
        <v>58</v>
      </c>
      <c r="K322">
        <v>84.8</v>
      </c>
      <c r="L322">
        <v>4.1139999999999999</v>
      </c>
      <c r="M322">
        <v>1.44</v>
      </c>
      <c r="N322">
        <v>9.7899999999999991</v>
      </c>
      <c r="O322">
        <v>57.71</v>
      </c>
      <c r="P322">
        <v>37.020000000000003</v>
      </c>
      <c r="Q322">
        <v>5.34</v>
      </c>
    </row>
    <row r="323" spans="1:17" ht="15">
      <c r="A323" s="202" t="s">
        <v>745</v>
      </c>
      <c r="B323" s="202"/>
      <c r="C323" s="202"/>
      <c r="D323" s="202"/>
      <c r="E323" s="202"/>
      <c r="F323" s="202"/>
      <c r="G323" s="202"/>
      <c r="H323" s="202"/>
      <c r="I323" s="202"/>
      <c r="J323" s="202"/>
      <c r="K323" s="202"/>
      <c r="L323" s="202"/>
      <c r="M323" s="202"/>
      <c r="N323" s="202"/>
      <c r="O323" s="202"/>
      <c r="P323" s="202"/>
      <c r="Q323" s="202"/>
    </row>
    <row r="324" spans="1:17">
      <c r="A324" t="s">
        <v>746</v>
      </c>
      <c r="B324">
        <v>18</v>
      </c>
      <c r="C324">
        <v>16.8</v>
      </c>
      <c r="D324">
        <v>3.09</v>
      </c>
      <c r="E324" s="24">
        <f>D324*4.184</f>
        <v>12.928559999999999</v>
      </c>
      <c r="G324">
        <v>3.9</v>
      </c>
      <c r="H324">
        <v>9</v>
      </c>
      <c r="I324">
        <v>73.27</v>
      </c>
      <c r="J324">
        <v>70</v>
      </c>
      <c r="K324">
        <v>70.3</v>
      </c>
      <c r="L324">
        <v>4.2329999999999997</v>
      </c>
      <c r="M324">
        <v>8.16</v>
      </c>
      <c r="N324">
        <v>2.08</v>
      </c>
      <c r="O324">
        <v>61.02</v>
      </c>
      <c r="P324">
        <v>37.35</v>
      </c>
      <c r="Q324">
        <v>4.74</v>
      </c>
    </row>
    <row r="325" spans="1:17">
      <c r="A325" t="s">
        <v>747</v>
      </c>
      <c r="B325">
        <v>23</v>
      </c>
      <c r="C325">
        <v>8.8000000000000007</v>
      </c>
      <c r="D325">
        <v>2.78</v>
      </c>
      <c r="E325" s="24">
        <f>D325*4.184</f>
        <v>11.63152</v>
      </c>
      <c r="G325">
        <v>1.8</v>
      </c>
      <c r="H325">
        <v>10.5</v>
      </c>
      <c r="I325">
        <v>71.03</v>
      </c>
      <c r="J325">
        <v>63</v>
      </c>
      <c r="K325">
        <v>78.900000000000006</v>
      </c>
      <c r="L325">
        <v>3.9409999999999998</v>
      </c>
      <c r="O325">
        <v>65</v>
      </c>
      <c r="P325">
        <v>40</v>
      </c>
      <c r="Q325">
        <v>5</v>
      </c>
    </row>
    <row r="326" spans="1:17">
      <c r="A326" t="s">
        <v>748</v>
      </c>
      <c r="B326">
        <v>91</v>
      </c>
      <c r="C326">
        <v>8</v>
      </c>
      <c r="D326">
        <v>2.4700000000000002</v>
      </c>
      <c r="E326" s="24">
        <f>D326*4.184</f>
        <v>10.334480000000001</v>
      </c>
      <c r="G326">
        <v>1.8</v>
      </c>
      <c r="H326">
        <v>9.6</v>
      </c>
      <c r="I326">
        <v>62.67</v>
      </c>
      <c r="J326">
        <v>56</v>
      </c>
      <c r="K326">
        <v>80.599999999999994</v>
      </c>
      <c r="L326">
        <v>3.9660000000000002</v>
      </c>
      <c r="M326">
        <v>7.07</v>
      </c>
      <c r="N326">
        <v>1.42</v>
      </c>
      <c r="O326">
        <v>65.7</v>
      </c>
      <c r="P326">
        <v>41.6</v>
      </c>
      <c r="Q326">
        <v>5.0599999999999996</v>
      </c>
    </row>
    <row r="327" spans="1:17">
      <c r="A327" t="s">
        <v>749</v>
      </c>
      <c r="B327">
        <v>28</v>
      </c>
      <c r="C327">
        <v>10.8</v>
      </c>
      <c r="D327">
        <v>2.4300000000000002</v>
      </c>
      <c r="E327" s="24">
        <f>D327*4.184</f>
        <v>10.167120000000001</v>
      </c>
      <c r="G327">
        <v>2.8</v>
      </c>
      <c r="H327">
        <v>9.8000000000000007</v>
      </c>
      <c r="I327">
        <v>60.29</v>
      </c>
      <c r="J327">
        <v>55</v>
      </c>
      <c r="K327">
        <v>76.599999999999994</v>
      </c>
      <c r="L327">
        <v>4.0519999999999996</v>
      </c>
      <c r="M327">
        <v>4.5</v>
      </c>
      <c r="N327">
        <v>3.12</v>
      </c>
      <c r="O327">
        <v>61.14</v>
      </c>
      <c r="P327">
        <v>39.65</v>
      </c>
      <c r="Q327">
        <v>5.47</v>
      </c>
    </row>
    <row r="328" spans="1:17" ht="15">
      <c r="A328" s="202" t="s">
        <v>319</v>
      </c>
      <c r="B328" s="202"/>
      <c r="C328" s="202"/>
      <c r="D328" s="202"/>
      <c r="E328" s="202"/>
      <c r="F328" s="202"/>
      <c r="G328" s="202"/>
      <c r="H328" s="202"/>
      <c r="I328" s="202"/>
      <c r="J328" s="202"/>
      <c r="K328" s="202"/>
      <c r="L328" s="202"/>
      <c r="M328" s="202"/>
      <c r="N328" s="202"/>
      <c r="O328" s="202"/>
      <c r="P328" s="202"/>
      <c r="Q328" s="202"/>
    </row>
    <row r="329" spans="1:17">
      <c r="A329" t="s">
        <v>750</v>
      </c>
      <c r="B329">
        <v>90.5</v>
      </c>
      <c r="C329">
        <v>16.54</v>
      </c>
      <c r="D329">
        <v>2.65</v>
      </c>
      <c r="E329" s="24">
        <f t="shared" ref="E329:E336" si="7">D329*4.184</f>
        <v>11.0876</v>
      </c>
      <c r="G329">
        <v>3.04</v>
      </c>
      <c r="H329">
        <v>8.7899999999999991</v>
      </c>
      <c r="I329">
        <v>63.48</v>
      </c>
      <c r="J329">
        <v>53</v>
      </c>
      <c r="K329">
        <v>71.63</v>
      </c>
      <c r="L329">
        <v>4.1929999999999996</v>
      </c>
      <c r="M329">
        <v>4.9000000000000004</v>
      </c>
      <c r="N329">
        <v>5.37</v>
      </c>
      <c r="O329">
        <v>44.85</v>
      </c>
      <c r="P329">
        <v>37.049999999999997</v>
      </c>
      <c r="Q329">
        <v>7.28</v>
      </c>
    </row>
    <row r="330" spans="1:17">
      <c r="A330" t="s">
        <v>751</v>
      </c>
      <c r="B330">
        <v>90.04</v>
      </c>
      <c r="C330">
        <v>12.37</v>
      </c>
      <c r="D330">
        <v>2.76</v>
      </c>
      <c r="E330" s="24">
        <f t="shared" si="7"/>
        <v>11.547839999999999</v>
      </c>
      <c r="G330">
        <v>2.2799999999999998</v>
      </c>
      <c r="H330">
        <v>5.05</v>
      </c>
      <c r="I330">
        <v>65.19</v>
      </c>
      <c r="J330">
        <v>64</v>
      </c>
      <c r="K330">
        <v>80.3</v>
      </c>
      <c r="L330">
        <v>4.2460000000000004</v>
      </c>
      <c r="M330">
        <v>2.15</v>
      </c>
      <c r="N330">
        <v>1.1000000000000001</v>
      </c>
      <c r="O330">
        <v>64.81</v>
      </c>
      <c r="P330">
        <v>46.4</v>
      </c>
      <c r="Q330">
        <v>2.4700000000000002</v>
      </c>
    </row>
    <row r="331" spans="1:17">
      <c r="A331" t="s">
        <v>752</v>
      </c>
      <c r="B331">
        <v>92</v>
      </c>
      <c r="C331">
        <v>42.8</v>
      </c>
      <c r="D331">
        <v>4.01</v>
      </c>
      <c r="E331" s="24">
        <f t="shared" si="7"/>
        <v>16.777840000000001</v>
      </c>
      <c r="G331">
        <v>18.8</v>
      </c>
      <c r="H331">
        <v>5.5</v>
      </c>
      <c r="I331">
        <v>71.66</v>
      </c>
      <c r="J331">
        <v>91</v>
      </c>
      <c r="K331">
        <v>32.9</v>
      </c>
      <c r="L331">
        <v>5.5510000000000002</v>
      </c>
      <c r="N331">
        <v>1.03</v>
      </c>
      <c r="O331">
        <v>17.98</v>
      </c>
      <c r="P331">
        <v>10.75</v>
      </c>
      <c r="Q331">
        <v>1.92</v>
      </c>
    </row>
    <row r="332" spans="1:17">
      <c r="A332" t="s">
        <v>753</v>
      </c>
      <c r="B332">
        <v>90</v>
      </c>
      <c r="C332">
        <v>47.7</v>
      </c>
      <c r="D332">
        <v>3.75</v>
      </c>
      <c r="E332" s="24">
        <f t="shared" si="7"/>
        <v>15.690000000000001</v>
      </c>
      <c r="F332">
        <v>4.7080000000000002</v>
      </c>
      <c r="G332">
        <v>5.3</v>
      </c>
      <c r="H332">
        <v>6.7</v>
      </c>
      <c r="I332">
        <v>77.150000000000006</v>
      </c>
      <c r="J332">
        <v>85</v>
      </c>
      <c r="K332">
        <v>40.299999999999997</v>
      </c>
      <c r="L332">
        <v>4.8659999999999997</v>
      </c>
    </row>
    <row r="333" spans="1:17">
      <c r="A333" t="s">
        <v>754</v>
      </c>
      <c r="B333">
        <v>91.68</v>
      </c>
      <c r="C333">
        <v>46.53</v>
      </c>
      <c r="D333">
        <v>3.58</v>
      </c>
      <c r="E333" s="24">
        <f t="shared" si="7"/>
        <v>14.978720000000001</v>
      </c>
      <c r="F333">
        <v>4.7080000000000002</v>
      </c>
      <c r="G333">
        <v>8.34</v>
      </c>
      <c r="H333">
        <v>6.43</v>
      </c>
      <c r="I333">
        <v>71.239999999999995</v>
      </c>
      <c r="J333">
        <v>84</v>
      </c>
      <c r="K333">
        <v>38.700000000000003</v>
      </c>
      <c r="L333">
        <v>5.0190000000000001</v>
      </c>
      <c r="M333">
        <v>11.55</v>
      </c>
      <c r="N333">
        <v>5.05</v>
      </c>
      <c r="O333">
        <v>18.78</v>
      </c>
      <c r="P333">
        <v>10.93</v>
      </c>
      <c r="Q333">
        <v>1.48</v>
      </c>
    </row>
    <row r="334" spans="1:17">
      <c r="A334" t="s">
        <v>755</v>
      </c>
      <c r="B334">
        <v>89.24</v>
      </c>
      <c r="C334">
        <v>52.85</v>
      </c>
      <c r="D334">
        <v>3.51</v>
      </c>
      <c r="E334" s="24">
        <f t="shared" si="7"/>
        <v>14.685839999999999</v>
      </c>
      <c r="F334">
        <v>4.7080000000000002</v>
      </c>
      <c r="G334">
        <v>1.88</v>
      </c>
      <c r="H334">
        <v>7.36</v>
      </c>
      <c r="I334">
        <v>74.41</v>
      </c>
      <c r="J334">
        <v>87</v>
      </c>
      <c r="K334">
        <v>37.909999999999997</v>
      </c>
      <c r="L334">
        <v>4.7359999999999998</v>
      </c>
      <c r="M334">
        <v>13.3</v>
      </c>
      <c r="N334">
        <v>2.02</v>
      </c>
      <c r="O334">
        <v>11.33</v>
      </c>
      <c r="P334">
        <v>7.48</v>
      </c>
      <c r="Q334">
        <v>1.17</v>
      </c>
    </row>
    <row r="335" spans="1:17">
      <c r="A335" t="s">
        <v>756</v>
      </c>
      <c r="B335">
        <v>37.35</v>
      </c>
      <c r="C335">
        <v>17.079999999999998</v>
      </c>
      <c r="D335">
        <v>2.5499999999999998</v>
      </c>
      <c r="E335" s="24">
        <f t="shared" si="7"/>
        <v>10.6692</v>
      </c>
      <c r="G335">
        <v>4.29</v>
      </c>
      <c r="H335">
        <v>9.81</v>
      </c>
      <c r="I335">
        <v>60.6</v>
      </c>
      <c r="J335">
        <v>55</v>
      </c>
      <c r="K335">
        <v>68.819999999999993</v>
      </c>
      <c r="L335">
        <v>4.2240000000000002</v>
      </c>
      <c r="N335">
        <v>4.21</v>
      </c>
      <c r="O335">
        <v>47.53</v>
      </c>
      <c r="P335">
        <v>36.86</v>
      </c>
      <c r="Q335">
        <v>8.01</v>
      </c>
    </row>
    <row r="336" spans="1:17">
      <c r="A336" t="s">
        <v>757</v>
      </c>
      <c r="B336">
        <v>88</v>
      </c>
      <c r="C336">
        <v>5.2</v>
      </c>
      <c r="D336">
        <v>1.85</v>
      </c>
      <c r="E336" s="24">
        <f t="shared" si="7"/>
        <v>7.7404000000000011</v>
      </c>
      <c r="G336">
        <v>1.5</v>
      </c>
      <c r="H336">
        <v>6.4</v>
      </c>
      <c r="I336">
        <v>45.98</v>
      </c>
      <c r="J336">
        <v>42</v>
      </c>
      <c r="K336">
        <v>86.9</v>
      </c>
      <c r="L336">
        <v>4.0410000000000004</v>
      </c>
      <c r="O336">
        <v>70</v>
      </c>
      <c r="P336">
        <v>54</v>
      </c>
      <c r="Q336">
        <v>16</v>
      </c>
    </row>
    <row r="337" spans="1:17" ht="15">
      <c r="A337" s="202" t="s">
        <v>320</v>
      </c>
      <c r="B337" s="202"/>
      <c r="C337" s="202"/>
      <c r="D337" s="202"/>
      <c r="E337" s="202"/>
      <c r="F337" s="202"/>
      <c r="G337" s="202"/>
      <c r="H337" s="202"/>
      <c r="I337" s="202"/>
      <c r="J337" s="202"/>
      <c r="K337" s="202"/>
      <c r="L337" s="202"/>
      <c r="M337" s="202"/>
      <c r="N337" s="202"/>
      <c r="O337" s="202"/>
      <c r="P337" s="202"/>
      <c r="Q337" s="202"/>
    </row>
    <row r="338" spans="1:17">
      <c r="A338" t="s">
        <v>758</v>
      </c>
      <c r="B338">
        <v>90</v>
      </c>
      <c r="C338">
        <v>13.3</v>
      </c>
      <c r="D338">
        <v>3.31</v>
      </c>
      <c r="E338" s="24">
        <f>D338*4.184</f>
        <v>13.84904</v>
      </c>
      <c r="G338">
        <v>2.1</v>
      </c>
      <c r="H338">
        <v>3.9</v>
      </c>
      <c r="I338">
        <v>77.180000000000007</v>
      </c>
      <c r="J338">
        <v>75</v>
      </c>
      <c r="K338">
        <v>80.7</v>
      </c>
      <c r="L338">
        <v>4.298</v>
      </c>
    </row>
    <row r="339" spans="1:17" ht="15">
      <c r="A339" s="202" t="s">
        <v>321</v>
      </c>
      <c r="B339" s="202"/>
      <c r="C339" s="202"/>
      <c r="D339" s="202"/>
      <c r="E339" s="202"/>
      <c r="F339" s="202"/>
      <c r="G339" s="202"/>
      <c r="H339" s="202"/>
      <c r="I339" s="202"/>
      <c r="J339" s="202"/>
      <c r="K339" s="202"/>
      <c r="L339" s="202"/>
      <c r="M339" s="202"/>
      <c r="N339" s="202"/>
      <c r="O339" s="202"/>
      <c r="P339" s="202"/>
      <c r="Q339" s="202"/>
    </row>
    <row r="340" spans="1:17">
      <c r="A340" t="s">
        <v>759</v>
      </c>
      <c r="B340">
        <v>50</v>
      </c>
      <c r="C340">
        <v>3.1</v>
      </c>
      <c r="D340">
        <v>2.21</v>
      </c>
      <c r="E340" s="24">
        <f>D340*4.184</f>
        <v>9.2466400000000011</v>
      </c>
      <c r="F340">
        <v>2.2000000000000002</v>
      </c>
      <c r="G340">
        <v>17</v>
      </c>
      <c r="H340">
        <v>62</v>
      </c>
      <c r="I340">
        <v>50</v>
      </c>
      <c r="J340">
        <v>77.7</v>
      </c>
      <c r="K340">
        <v>3.6070000000000002</v>
      </c>
    </row>
    <row r="341" spans="1:17" ht="15">
      <c r="A341" s="202" t="s">
        <v>322</v>
      </c>
      <c r="B341" s="202"/>
      <c r="C341" s="202"/>
      <c r="D341" s="202"/>
      <c r="E341" s="202"/>
      <c r="F341" s="202"/>
      <c r="G341" s="202"/>
      <c r="H341" s="202"/>
      <c r="I341" s="202"/>
      <c r="J341" s="202"/>
      <c r="K341" s="202"/>
      <c r="L341" s="202"/>
      <c r="M341" s="202"/>
      <c r="N341" s="202"/>
      <c r="O341" s="202"/>
      <c r="P341" s="202"/>
      <c r="Q341" s="202"/>
    </row>
    <row r="342" spans="1:17">
      <c r="A342" t="s">
        <v>760</v>
      </c>
      <c r="B342">
        <v>91</v>
      </c>
      <c r="C342">
        <v>1.6</v>
      </c>
      <c r="D342">
        <v>2.12</v>
      </c>
      <c r="E342" s="24">
        <f>D342*4.184</f>
        <v>8.8700800000000015</v>
      </c>
      <c r="G342">
        <v>0.7</v>
      </c>
      <c r="H342">
        <v>3.2</v>
      </c>
      <c r="I342">
        <v>52.15</v>
      </c>
      <c r="J342">
        <v>48</v>
      </c>
      <c r="K342">
        <v>94.5</v>
      </c>
      <c r="L342">
        <v>4.0780000000000003</v>
      </c>
      <c r="M342">
        <v>0.87</v>
      </c>
      <c r="O342">
        <v>75.58</v>
      </c>
      <c r="P342">
        <v>62.11</v>
      </c>
      <c r="Q342">
        <v>17.309999999999999</v>
      </c>
    </row>
    <row r="343" spans="1:17">
      <c r="A343" t="s">
        <v>761</v>
      </c>
      <c r="B343">
        <v>15</v>
      </c>
      <c r="C343">
        <v>7.6</v>
      </c>
      <c r="D343">
        <v>2.69</v>
      </c>
      <c r="E343" s="24">
        <f>D343*4.184</f>
        <v>11.254960000000001</v>
      </c>
      <c r="G343">
        <v>0.7</v>
      </c>
      <c r="H343">
        <v>6</v>
      </c>
      <c r="I343">
        <v>66.709999999999994</v>
      </c>
      <c r="J343">
        <v>61</v>
      </c>
      <c r="K343">
        <v>85.7</v>
      </c>
      <c r="L343">
        <v>4.0519999999999996</v>
      </c>
      <c r="M343">
        <v>12.33</v>
      </c>
      <c r="N343">
        <v>1.08</v>
      </c>
      <c r="O343">
        <v>74</v>
      </c>
      <c r="P343">
        <v>44</v>
      </c>
      <c r="Q343">
        <v>11</v>
      </c>
    </row>
    <row r="344" spans="1:17">
      <c r="A344" t="s">
        <v>762</v>
      </c>
      <c r="B344">
        <v>100</v>
      </c>
      <c r="C344">
        <v>0</v>
      </c>
      <c r="D344">
        <v>4.32</v>
      </c>
      <c r="E344" s="24">
        <f>D344*4.184</f>
        <v>18.07488</v>
      </c>
      <c r="G344">
        <v>0</v>
      </c>
      <c r="H344">
        <v>0</v>
      </c>
      <c r="J344">
        <v>98</v>
      </c>
      <c r="K344">
        <v>100</v>
      </c>
      <c r="L344">
        <v>4.1500000000000004</v>
      </c>
      <c r="M344">
        <v>100</v>
      </c>
      <c r="N344">
        <v>0</v>
      </c>
      <c r="O344">
        <v>0</v>
      </c>
      <c r="P344">
        <v>0</v>
      </c>
      <c r="Q344">
        <v>0</v>
      </c>
    </row>
    <row r="345" spans="1:17" ht="15">
      <c r="A345" s="202" t="s">
        <v>763</v>
      </c>
      <c r="B345" s="202"/>
      <c r="C345" s="202"/>
      <c r="D345" s="202"/>
      <c r="E345" s="202"/>
      <c r="F345" s="202"/>
      <c r="G345" s="202"/>
      <c r="H345" s="202"/>
      <c r="I345" s="202"/>
      <c r="J345" s="202"/>
      <c r="K345" s="202"/>
      <c r="L345" s="202"/>
      <c r="M345" s="202"/>
      <c r="N345" s="202"/>
      <c r="O345" s="202"/>
      <c r="P345" s="202"/>
      <c r="Q345" s="202"/>
    </row>
    <row r="346" spans="1:17">
      <c r="A346" t="s">
        <v>764</v>
      </c>
      <c r="B346">
        <v>85</v>
      </c>
      <c r="C346">
        <v>9</v>
      </c>
      <c r="D346">
        <v>2.21</v>
      </c>
      <c r="E346" s="24">
        <f>D346*4.184</f>
        <v>9.2466400000000011</v>
      </c>
      <c r="G346">
        <v>3.7</v>
      </c>
      <c r="H346">
        <v>24.8</v>
      </c>
      <c r="I346">
        <v>65.11</v>
      </c>
      <c r="J346">
        <v>50</v>
      </c>
      <c r="K346">
        <v>62.5</v>
      </c>
      <c r="L346">
        <v>3.45</v>
      </c>
    </row>
    <row r="347" spans="1:17" ht="15">
      <c r="A347" s="202" t="s">
        <v>765</v>
      </c>
      <c r="B347" s="202"/>
      <c r="C347" s="202"/>
      <c r="D347" s="202"/>
      <c r="E347" s="202"/>
      <c r="F347" s="202"/>
      <c r="G347" s="202"/>
      <c r="H347" s="202"/>
      <c r="I347" s="202"/>
      <c r="J347" s="202"/>
      <c r="K347" s="202"/>
      <c r="L347" s="202"/>
      <c r="M347" s="202"/>
      <c r="N347" s="202"/>
      <c r="O347" s="202"/>
      <c r="P347" s="202"/>
      <c r="Q347" s="202"/>
    </row>
    <row r="348" spans="1:17">
      <c r="A348" t="s">
        <v>766</v>
      </c>
      <c r="B348">
        <v>90.44</v>
      </c>
      <c r="C348">
        <v>35.01</v>
      </c>
      <c r="D348">
        <v>2.93</v>
      </c>
      <c r="E348" s="24">
        <f>D348*4.184</f>
        <v>12.259120000000001</v>
      </c>
      <c r="G348">
        <v>10.8</v>
      </c>
      <c r="H348">
        <v>6.41</v>
      </c>
      <c r="I348">
        <v>58.71</v>
      </c>
      <c r="J348">
        <v>44</v>
      </c>
      <c r="K348">
        <v>47.78</v>
      </c>
      <c r="L348">
        <v>4.976</v>
      </c>
      <c r="M348">
        <v>6.6</v>
      </c>
      <c r="N348">
        <v>1</v>
      </c>
      <c r="O348">
        <v>40.51</v>
      </c>
      <c r="P348">
        <v>29.46</v>
      </c>
      <c r="Q348">
        <v>9.1199999999999992</v>
      </c>
    </row>
    <row r="349" spans="1:17">
      <c r="A349" t="s">
        <v>767</v>
      </c>
      <c r="B349">
        <v>93</v>
      </c>
      <c r="C349">
        <v>44.6</v>
      </c>
      <c r="D349">
        <v>3.26</v>
      </c>
      <c r="E349" s="24">
        <f>D349*4.184</f>
        <v>13.63984</v>
      </c>
      <c r="G349">
        <v>8.6999999999999993</v>
      </c>
      <c r="H349">
        <v>7.1</v>
      </c>
      <c r="I349">
        <v>65.37</v>
      </c>
      <c r="J349">
        <v>74</v>
      </c>
      <c r="K349">
        <v>39.6</v>
      </c>
      <c r="L349">
        <v>4.9809999999999999</v>
      </c>
    </row>
    <row r="350" spans="1:17">
      <c r="A350" t="s">
        <v>768</v>
      </c>
      <c r="B350">
        <v>93</v>
      </c>
      <c r="C350">
        <v>49.8</v>
      </c>
      <c r="D350">
        <v>2.87</v>
      </c>
      <c r="E350" s="24">
        <f>D350*4.184</f>
        <v>12.008080000000001</v>
      </c>
      <c r="G350">
        <v>3.1</v>
      </c>
      <c r="H350">
        <v>8.1</v>
      </c>
      <c r="I350">
        <v>60.97</v>
      </c>
      <c r="J350">
        <v>65</v>
      </c>
      <c r="K350">
        <v>39</v>
      </c>
      <c r="L350">
        <v>4.7240000000000002</v>
      </c>
      <c r="N350">
        <v>1.07</v>
      </c>
      <c r="O350">
        <v>41.71</v>
      </c>
      <c r="P350">
        <v>30.34</v>
      </c>
      <c r="Q350">
        <v>9.0399999999999991</v>
      </c>
    </row>
    <row r="351" spans="1:17" ht="15">
      <c r="A351" s="202" t="s">
        <v>769</v>
      </c>
      <c r="B351" s="202"/>
      <c r="C351" s="202"/>
      <c r="D351" s="202"/>
      <c r="E351" s="202"/>
      <c r="F351" s="202"/>
      <c r="G351" s="202"/>
      <c r="H351" s="202"/>
      <c r="I351" s="202"/>
      <c r="J351" s="202"/>
      <c r="K351" s="202"/>
      <c r="L351" s="202"/>
      <c r="M351" s="202"/>
      <c r="N351" s="202"/>
      <c r="O351" s="202"/>
      <c r="P351" s="202"/>
      <c r="Q351" s="202"/>
    </row>
    <row r="352" spans="1:17">
      <c r="A352" t="s">
        <v>770</v>
      </c>
      <c r="B352">
        <v>87</v>
      </c>
      <c r="C352">
        <v>15.7</v>
      </c>
      <c r="D352">
        <v>2.38</v>
      </c>
      <c r="E352" s="24">
        <f>D352*4.184</f>
        <v>9.9579199999999997</v>
      </c>
      <c r="G352">
        <v>2</v>
      </c>
      <c r="H352">
        <v>8.8000000000000007</v>
      </c>
      <c r="I352">
        <v>58</v>
      </c>
      <c r="J352">
        <v>54</v>
      </c>
      <c r="K352">
        <v>73.5</v>
      </c>
      <c r="L352">
        <v>4.125</v>
      </c>
    </row>
    <row r="353" spans="1:17" ht="15">
      <c r="A353" s="202" t="s">
        <v>323</v>
      </c>
      <c r="B353" s="202"/>
      <c r="C353" s="202"/>
      <c r="D353" s="202"/>
      <c r="E353" s="202"/>
      <c r="F353" s="202"/>
      <c r="G353" s="202"/>
      <c r="H353" s="202"/>
      <c r="I353" s="202"/>
      <c r="J353" s="202"/>
      <c r="K353" s="202"/>
      <c r="L353" s="202"/>
      <c r="M353" s="202"/>
      <c r="N353" s="202"/>
      <c r="O353" s="202"/>
      <c r="P353" s="202"/>
      <c r="Q353" s="202"/>
    </row>
    <row r="354" spans="1:17">
      <c r="A354" t="s">
        <v>771</v>
      </c>
      <c r="B354">
        <v>26</v>
      </c>
      <c r="C354">
        <v>18</v>
      </c>
      <c r="D354">
        <v>3.17</v>
      </c>
      <c r="E354" s="24">
        <f t="shared" ref="E354:E360" si="8">D354*4.184</f>
        <v>13.26328</v>
      </c>
      <c r="G354">
        <v>3.8</v>
      </c>
      <c r="H354">
        <v>6.6</v>
      </c>
      <c r="I354">
        <v>73.12</v>
      </c>
      <c r="J354">
        <v>72</v>
      </c>
      <c r="K354">
        <v>71.599999999999994</v>
      </c>
      <c r="L354">
        <v>4.3460000000000001</v>
      </c>
      <c r="O354">
        <v>55.7</v>
      </c>
      <c r="P354">
        <v>29</v>
      </c>
    </row>
    <row r="355" spans="1:17">
      <c r="A355" t="s">
        <v>772</v>
      </c>
      <c r="B355">
        <v>29</v>
      </c>
      <c r="C355">
        <v>9.1</v>
      </c>
      <c r="D355">
        <v>2.78</v>
      </c>
      <c r="E355" s="24">
        <f t="shared" si="8"/>
        <v>11.63152</v>
      </c>
      <c r="G355">
        <v>3</v>
      </c>
      <c r="H355">
        <v>6.6</v>
      </c>
      <c r="I355">
        <v>66.87</v>
      </c>
      <c r="J355">
        <v>63</v>
      </c>
      <c r="K355">
        <v>81.3</v>
      </c>
      <c r="L355">
        <v>4.17</v>
      </c>
      <c r="O355">
        <v>64</v>
      </c>
      <c r="P355">
        <v>37</v>
      </c>
      <c r="Q355">
        <v>4</v>
      </c>
    </row>
    <row r="356" spans="1:17">
      <c r="A356" t="s">
        <v>773</v>
      </c>
      <c r="B356">
        <v>89</v>
      </c>
      <c r="C356">
        <v>17</v>
      </c>
      <c r="D356">
        <v>2.73</v>
      </c>
      <c r="E356" s="24">
        <f t="shared" si="8"/>
        <v>11.422320000000001</v>
      </c>
      <c r="G356">
        <v>2.8</v>
      </c>
      <c r="H356">
        <v>7.1</v>
      </c>
      <c r="I356">
        <v>64.349999999999994</v>
      </c>
      <c r="J356">
        <v>62</v>
      </c>
      <c r="K356">
        <v>73.099999999999994</v>
      </c>
      <c r="L356">
        <v>4.2569999999999997</v>
      </c>
      <c r="O356">
        <v>55</v>
      </c>
      <c r="P356">
        <v>29</v>
      </c>
      <c r="Q356">
        <v>3</v>
      </c>
    </row>
    <row r="357" spans="1:17">
      <c r="A357" t="s">
        <v>774</v>
      </c>
      <c r="B357">
        <v>90</v>
      </c>
      <c r="C357">
        <v>15</v>
      </c>
      <c r="D357">
        <v>2.6</v>
      </c>
      <c r="E357" s="24">
        <f t="shared" si="8"/>
        <v>10.878400000000001</v>
      </c>
      <c r="G357">
        <v>2.9</v>
      </c>
      <c r="H357">
        <v>5.7</v>
      </c>
      <c r="I357">
        <v>60.75</v>
      </c>
      <c r="J357">
        <v>59</v>
      </c>
      <c r="K357">
        <v>76.400000000000006</v>
      </c>
      <c r="L357">
        <v>4.2910000000000004</v>
      </c>
      <c r="O357">
        <v>61.4</v>
      </c>
      <c r="P357">
        <v>35.200000000000003</v>
      </c>
      <c r="Q357">
        <v>4</v>
      </c>
    </row>
    <row r="358" spans="1:17">
      <c r="A358" t="s">
        <v>775</v>
      </c>
      <c r="B358">
        <v>87.8</v>
      </c>
      <c r="C358">
        <v>9.44</v>
      </c>
      <c r="D358">
        <v>2.5099999999999998</v>
      </c>
      <c r="E358" s="24">
        <f t="shared" si="8"/>
        <v>10.50184</v>
      </c>
      <c r="G358">
        <v>1.93</v>
      </c>
      <c r="H358">
        <v>8.5</v>
      </c>
      <c r="I358">
        <v>62.46</v>
      </c>
      <c r="J358">
        <v>57</v>
      </c>
      <c r="K358">
        <v>80.13</v>
      </c>
      <c r="L358">
        <v>4.04</v>
      </c>
      <c r="M358">
        <v>14.15</v>
      </c>
      <c r="O358">
        <v>63.81</v>
      </c>
      <c r="P358">
        <v>38.04</v>
      </c>
      <c r="Q358">
        <v>5</v>
      </c>
    </row>
    <row r="359" spans="1:17">
      <c r="A359" t="s">
        <v>776</v>
      </c>
      <c r="B359">
        <v>89</v>
      </c>
      <c r="C359">
        <v>8.1</v>
      </c>
      <c r="D359">
        <v>2.4700000000000002</v>
      </c>
      <c r="E359" s="24">
        <f t="shared" si="8"/>
        <v>10.334480000000001</v>
      </c>
      <c r="G359">
        <v>3.1</v>
      </c>
      <c r="H359">
        <v>5.2</v>
      </c>
      <c r="I359">
        <v>58.68</v>
      </c>
      <c r="J359">
        <v>56</v>
      </c>
      <c r="K359">
        <v>83.6</v>
      </c>
      <c r="L359">
        <v>4.218</v>
      </c>
      <c r="O359">
        <v>68</v>
      </c>
      <c r="P359">
        <v>38</v>
      </c>
      <c r="Q359">
        <v>6</v>
      </c>
    </row>
    <row r="360" spans="1:17">
      <c r="A360" t="s">
        <v>777</v>
      </c>
      <c r="B360">
        <v>36</v>
      </c>
      <c r="C360">
        <v>9.6999999999999993</v>
      </c>
      <c r="D360">
        <v>2.4700000000000002</v>
      </c>
      <c r="E360" s="24">
        <f t="shared" si="8"/>
        <v>10.334480000000001</v>
      </c>
      <c r="G360">
        <v>3.2</v>
      </c>
      <c r="H360">
        <v>6.9</v>
      </c>
      <c r="I360">
        <v>59.32</v>
      </c>
      <c r="J360">
        <v>56</v>
      </c>
      <c r="K360">
        <v>80.2</v>
      </c>
      <c r="L360">
        <v>4.1769999999999996</v>
      </c>
      <c r="O360">
        <v>64.2</v>
      </c>
      <c r="P360">
        <v>37.5</v>
      </c>
    </row>
    <row r="361" spans="1:17" ht="15">
      <c r="A361" s="202" t="s">
        <v>324</v>
      </c>
      <c r="B361" s="202"/>
      <c r="C361" s="202"/>
      <c r="D361" s="202"/>
      <c r="E361" s="202"/>
      <c r="F361" s="202"/>
      <c r="G361" s="202"/>
      <c r="H361" s="202"/>
      <c r="I361" s="202"/>
      <c r="J361" s="202"/>
      <c r="K361" s="202"/>
      <c r="L361" s="202"/>
      <c r="M361" s="202"/>
      <c r="N361" s="202"/>
      <c r="O361" s="202"/>
      <c r="P361" s="202"/>
      <c r="Q361" s="202"/>
    </row>
    <row r="362" spans="1:17">
      <c r="A362" t="s">
        <v>778</v>
      </c>
      <c r="B362">
        <v>92</v>
      </c>
      <c r="C362">
        <v>23.5</v>
      </c>
      <c r="D362">
        <v>2.56</v>
      </c>
      <c r="E362" s="24">
        <f>D362*4.184</f>
        <v>10.711040000000001</v>
      </c>
      <c r="G362">
        <v>10.3</v>
      </c>
      <c r="H362">
        <v>7.5</v>
      </c>
      <c r="I362">
        <v>53.98</v>
      </c>
      <c r="J362">
        <v>58</v>
      </c>
      <c r="K362">
        <v>58.7</v>
      </c>
      <c r="L362">
        <v>4.7320000000000002</v>
      </c>
      <c r="M362">
        <v>13.98</v>
      </c>
      <c r="N362">
        <v>1</v>
      </c>
      <c r="O362">
        <v>43.86</v>
      </c>
      <c r="P362">
        <v>37.200000000000003</v>
      </c>
      <c r="Q362">
        <v>15.78</v>
      </c>
    </row>
    <row r="363" spans="1:17" ht="15">
      <c r="A363" s="202" t="s">
        <v>779</v>
      </c>
      <c r="B363" s="202"/>
      <c r="C363" s="202"/>
      <c r="D363" s="202"/>
      <c r="E363" s="202"/>
      <c r="F363" s="202"/>
      <c r="G363" s="202"/>
      <c r="H363" s="202"/>
      <c r="I363" s="202"/>
      <c r="J363" s="202"/>
      <c r="K363" s="202"/>
      <c r="L363" s="202"/>
      <c r="M363" s="202"/>
      <c r="N363" s="202"/>
      <c r="O363" s="202"/>
      <c r="P363" s="202"/>
      <c r="Q363" s="202"/>
    </row>
    <row r="364" spans="1:17">
      <c r="A364" t="s">
        <v>780</v>
      </c>
      <c r="B364">
        <v>24</v>
      </c>
      <c r="C364">
        <v>21</v>
      </c>
      <c r="D364">
        <v>2.91</v>
      </c>
      <c r="E364" s="24">
        <f>D364*4.184</f>
        <v>12.175440000000002</v>
      </c>
      <c r="G364">
        <v>2.7</v>
      </c>
      <c r="H364">
        <v>9</v>
      </c>
      <c r="I364">
        <v>69.069999999999993</v>
      </c>
      <c r="J364">
        <v>66</v>
      </c>
      <c r="K364">
        <v>67.3</v>
      </c>
      <c r="L364">
        <v>4.2329999999999997</v>
      </c>
      <c r="O364">
        <v>46.7</v>
      </c>
    </row>
    <row r="365" spans="1:17">
      <c r="A365" t="s">
        <v>781</v>
      </c>
      <c r="B365">
        <v>92</v>
      </c>
      <c r="C365">
        <v>16.3</v>
      </c>
      <c r="D365">
        <v>2.6</v>
      </c>
      <c r="E365" s="24">
        <f>D365*4.184</f>
        <v>10.878400000000001</v>
      </c>
      <c r="G365">
        <v>2.5</v>
      </c>
      <c r="H365">
        <v>7</v>
      </c>
      <c r="I365">
        <v>61.62</v>
      </c>
      <c r="J365">
        <v>59</v>
      </c>
      <c r="K365">
        <v>74.2</v>
      </c>
      <c r="L365">
        <v>4.2350000000000003</v>
      </c>
      <c r="O365">
        <v>47.5</v>
      </c>
      <c r="P365">
        <v>36</v>
      </c>
      <c r="Q365">
        <v>9</v>
      </c>
    </row>
    <row r="366" spans="1:17" ht="15">
      <c r="A366" s="202" t="s">
        <v>325</v>
      </c>
      <c r="B366" s="202"/>
      <c r="C366" s="202"/>
      <c r="D366" s="202"/>
      <c r="E366" s="202"/>
      <c r="F366" s="202"/>
      <c r="G366" s="202"/>
      <c r="H366" s="202"/>
      <c r="I366" s="202"/>
      <c r="J366" s="202"/>
      <c r="K366" s="202"/>
      <c r="L366" s="202"/>
      <c r="M366" s="202"/>
      <c r="N366" s="202"/>
      <c r="O366" s="202"/>
      <c r="P366" s="202"/>
      <c r="Q366" s="202"/>
    </row>
    <row r="367" spans="1:17">
      <c r="A367" t="s">
        <v>782</v>
      </c>
      <c r="B367">
        <v>88.84</v>
      </c>
      <c r="C367">
        <v>12.13</v>
      </c>
      <c r="D367">
        <v>3.65</v>
      </c>
      <c r="E367" s="24">
        <f>D367*4.184</f>
        <v>15.271599999999999</v>
      </c>
      <c r="G367">
        <v>1.65</v>
      </c>
      <c r="H367">
        <v>1.96</v>
      </c>
      <c r="I367">
        <v>84.27</v>
      </c>
      <c r="J367">
        <v>84</v>
      </c>
      <c r="K367">
        <v>84.26</v>
      </c>
      <c r="L367">
        <v>4.3369999999999997</v>
      </c>
      <c r="M367">
        <v>2.9</v>
      </c>
      <c r="N367">
        <v>61.04</v>
      </c>
      <c r="O367">
        <v>14.1</v>
      </c>
      <c r="P367">
        <v>4.49</v>
      </c>
      <c r="Q367">
        <v>1.81</v>
      </c>
    </row>
    <row r="368" spans="1:17">
      <c r="A368" t="s">
        <v>783</v>
      </c>
      <c r="B368">
        <v>91.3</v>
      </c>
      <c r="C368">
        <v>11</v>
      </c>
      <c r="D368">
        <v>2.58</v>
      </c>
      <c r="E368" s="24">
        <f>D368*4.184</f>
        <v>10.79472</v>
      </c>
      <c r="G368">
        <v>2.11</v>
      </c>
      <c r="H368">
        <v>8.39</v>
      </c>
      <c r="I368">
        <v>63.59</v>
      </c>
      <c r="J368">
        <v>58.5</v>
      </c>
      <c r="K368">
        <v>78.5</v>
      </c>
      <c r="L368">
        <v>4.0780000000000003</v>
      </c>
      <c r="M368">
        <v>8.4499999999999993</v>
      </c>
      <c r="N368">
        <v>2.64</v>
      </c>
      <c r="O368">
        <v>58.57</v>
      </c>
      <c r="P368">
        <v>37.979999999999997</v>
      </c>
      <c r="Q368">
        <v>4.82</v>
      </c>
    </row>
    <row r="369" spans="1:17" ht="15">
      <c r="A369" s="202" t="s">
        <v>326</v>
      </c>
      <c r="B369" s="202"/>
      <c r="C369" s="202"/>
      <c r="D369" s="202"/>
      <c r="E369" s="202"/>
      <c r="F369" s="202"/>
      <c r="G369" s="202"/>
      <c r="H369" s="202"/>
      <c r="I369" s="202"/>
      <c r="J369" s="202"/>
      <c r="K369" s="202"/>
      <c r="L369" s="202"/>
      <c r="M369" s="202"/>
      <c r="N369" s="202"/>
      <c r="O369" s="202"/>
      <c r="P369" s="202"/>
      <c r="Q369" s="202"/>
    </row>
    <row r="370" spans="1:17">
      <c r="A370" t="s">
        <v>784</v>
      </c>
      <c r="B370">
        <v>9</v>
      </c>
      <c r="C370">
        <v>11.8</v>
      </c>
      <c r="D370">
        <v>3.75</v>
      </c>
      <c r="E370" s="24">
        <f>D370*4.184</f>
        <v>15.690000000000001</v>
      </c>
      <c r="G370">
        <v>1.9</v>
      </c>
      <c r="H370">
        <v>8.9</v>
      </c>
      <c r="I370">
        <v>92.94</v>
      </c>
      <c r="J370">
        <v>85</v>
      </c>
      <c r="K370">
        <v>77.400000000000006</v>
      </c>
      <c r="L370">
        <v>4.0570000000000004</v>
      </c>
      <c r="O370">
        <v>44</v>
      </c>
      <c r="P370">
        <v>34</v>
      </c>
      <c r="Q370">
        <v>0</v>
      </c>
    </row>
    <row r="371" spans="1:17" ht="15">
      <c r="A371" s="202" t="s">
        <v>327</v>
      </c>
      <c r="B371" s="202"/>
      <c r="C371" s="202"/>
      <c r="D371" s="202"/>
      <c r="E371" s="202"/>
      <c r="F371" s="202"/>
      <c r="G371" s="202"/>
      <c r="H371" s="202"/>
      <c r="I371" s="202"/>
      <c r="J371" s="202"/>
      <c r="K371" s="202"/>
      <c r="L371" s="202"/>
      <c r="M371" s="202"/>
      <c r="N371" s="202"/>
      <c r="O371" s="202"/>
      <c r="P371" s="202"/>
      <c r="Q371" s="202"/>
    </row>
    <row r="372" spans="1:17">
      <c r="A372" t="s">
        <v>508</v>
      </c>
      <c r="B372">
        <v>99</v>
      </c>
      <c r="C372">
        <v>287</v>
      </c>
      <c r="D372">
        <v>0</v>
      </c>
      <c r="E372" s="24">
        <f>D372*4.184</f>
        <v>0</v>
      </c>
      <c r="F372">
        <v>0</v>
      </c>
      <c r="G372">
        <v>0</v>
      </c>
      <c r="H372">
        <v>0</v>
      </c>
      <c r="I372">
        <v>0</v>
      </c>
      <c r="J372">
        <v>0</v>
      </c>
      <c r="K372">
        <v>0</v>
      </c>
      <c r="L372">
        <v>0</v>
      </c>
      <c r="M372">
        <v>0</v>
      </c>
      <c r="N372">
        <v>0</v>
      </c>
      <c r="O372">
        <v>0</v>
      </c>
      <c r="P372">
        <v>0</v>
      </c>
      <c r="Q372">
        <v>0</v>
      </c>
    </row>
    <row r="373" spans="1:17" ht="15">
      <c r="A373" s="202" t="s">
        <v>328</v>
      </c>
      <c r="B373" s="202"/>
      <c r="C373" s="202"/>
      <c r="D373" s="202"/>
      <c r="E373" s="202"/>
      <c r="F373" s="202"/>
      <c r="G373" s="202"/>
      <c r="H373" s="202"/>
      <c r="I373" s="202"/>
      <c r="J373" s="202"/>
      <c r="K373" s="202"/>
      <c r="L373" s="202"/>
      <c r="M373" s="202"/>
      <c r="N373" s="202"/>
      <c r="O373" s="202"/>
      <c r="P373" s="202"/>
      <c r="Q373" s="202"/>
    </row>
    <row r="374" spans="1:17">
      <c r="A374" t="s">
        <v>785</v>
      </c>
      <c r="B374">
        <v>89</v>
      </c>
      <c r="C374">
        <v>20.8</v>
      </c>
      <c r="D374">
        <v>2.5099999999999998</v>
      </c>
      <c r="E374" s="24">
        <f>D374*4.184</f>
        <v>10.50184</v>
      </c>
      <c r="G374">
        <v>3</v>
      </c>
      <c r="H374">
        <v>9.1</v>
      </c>
      <c r="I374">
        <v>59.44</v>
      </c>
      <c r="J374">
        <v>57</v>
      </c>
      <c r="K374">
        <v>67.099999999999994</v>
      </c>
      <c r="L374">
        <v>4.242</v>
      </c>
      <c r="O374">
        <v>48</v>
      </c>
      <c r="P374">
        <v>33</v>
      </c>
      <c r="Q374">
        <v>8</v>
      </c>
    </row>
    <row r="375" spans="1:17" ht="15">
      <c r="A375" s="202" t="s">
        <v>329</v>
      </c>
      <c r="B375" s="202"/>
      <c r="C375" s="202"/>
      <c r="D375" s="202"/>
      <c r="E375" s="202"/>
      <c r="F375" s="202"/>
      <c r="G375" s="202"/>
      <c r="H375" s="202"/>
      <c r="I375" s="202"/>
      <c r="J375" s="202"/>
      <c r="K375" s="202"/>
      <c r="L375" s="202"/>
      <c r="M375" s="202"/>
      <c r="N375" s="202"/>
      <c r="O375" s="202"/>
      <c r="P375" s="202"/>
      <c r="Q375" s="202"/>
    </row>
    <row r="376" spans="1:17">
      <c r="A376" t="s">
        <v>786</v>
      </c>
      <c r="B376">
        <v>90.1</v>
      </c>
      <c r="C376">
        <v>17.48</v>
      </c>
      <c r="D376">
        <v>3.17</v>
      </c>
      <c r="E376" s="24">
        <f t="shared" ref="E376:E392" si="9">D376*4.184</f>
        <v>13.26328</v>
      </c>
      <c r="G376">
        <v>4.32</v>
      </c>
      <c r="H376">
        <v>5.48</v>
      </c>
      <c r="I376">
        <v>71.95</v>
      </c>
      <c r="J376">
        <v>70</v>
      </c>
      <c r="K376">
        <v>72.72</v>
      </c>
      <c r="L376">
        <v>4.4119999999999999</v>
      </c>
      <c r="M376">
        <v>5.32</v>
      </c>
      <c r="N376">
        <v>21.17</v>
      </c>
      <c r="O376">
        <v>40.090000000000003</v>
      </c>
      <c r="P376">
        <v>13.72</v>
      </c>
      <c r="Q376">
        <v>4.1500000000000004</v>
      </c>
    </row>
    <row r="377" spans="1:17">
      <c r="A377" t="s">
        <v>787</v>
      </c>
      <c r="B377">
        <v>95</v>
      </c>
      <c r="C377">
        <v>13</v>
      </c>
      <c r="D377">
        <v>3.79</v>
      </c>
      <c r="E377" s="24">
        <f t="shared" si="9"/>
        <v>15.85736</v>
      </c>
      <c r="G377">
        <v>2.4</v>
      </c>
      <c r="H377">
        <v>2.4</v>
      </c>
      <c r="I377">
        <v>86.79</v>
      </c>
      <c r="J377">
        <v>86</v>
      </c>
      <c r="K377">
        <v>82.2</v>
      </c>
      <c r="L377">
        <v>4.3710000000000004</v>
      </c>
    </row>
    <row r="378" spans="1:17">
      <c r="A378" t="s">
        <v>788</v>
      </c>
      <c r="B378">
        <v>88</v>
      </c>
      <c r="C378">
        <v>18.600000000000001</v>
      </c>
      <c r="D378">
        <v>3.22</v>
      </c>
      <c r="E378" s="24">
        <f t="shared" si="9"/>
        <v>13.472480000000001</v>
      </c>
      <c r="G378">
        <v>5.2</v>
      </c>
      <c r="H378">
        <v>4.9000000000000004</v>
      </c>
      <c r="I378">
        <v>71.59</v>
      </c>
      <c r="J378">
        <v>73</v>
      </c>
      <c r="K378">
        <v>71.3</v>
      </c>
      <c r="L378">
        <v>4.4989999999999997</v>
      </c>
      <c r="N378">
        <v>25.56</v>
      </c>
      <c r="O378">
        <v>38.33</v>
      </c>
      <c r="P378">
        <v>13.23</v>
      </c>
      <c r="Q378">
        <v>3.66</v>
      </c>
    </row>
    <row r="379" spans="1:17">
      <c r="A379" t="s">
        <v>789</v>
      </c>
      <c r="B379">
        <v>89</v>
      </c>
      <c r="C379">
        <v>18.399999999999999</v>
      </c>
      <c r="D379">
        <v>3.04</v>
      </c>
      <c r="E379" s="24">
        <f t="shared" si="9"/>
        <v>12.71936</v>
      </c>
      <c r="F379">
        <v>4.5529999999999999</v>
      </c>
      <c r="G379">
        <v>4.9000000000000004</v>
      </c>
      <c r="H379">
        <v>5.2</v>
      </c>
      <c r="I379">
        <v>68.09</v>
      </c>
      <c r="J379">
        <v>69</v>
      </c>
      <c r="K379">
        <v>71.5</v>
      </c>
      <c r="L379">
        <v>4.4669999999999996</v>
      </c>
      <c r="O379">
        <v>35.9</v>
      </c>
      <c r="P379">
        <v>11.7</v>
      </c>
    </row>
    <row r="380" spans="1:17">
      <c r="A380" t="s">
        <v>790</v>
      </c>
      <c r="B380">
        <v>34.11</v>
      </c>
      <c r="C380">
        <v>15.32</v>
      </c>
      <c r="D380">
        <v>61.7</v>
      </c>
      <c r="E380" s="24">
        <f t="shared" si="9"/>
        <v>258.15280000000001</v>
      </c>
      <c r="G380">
        <v>3</v>
      </c>
      <c r="H380">
        <v>8.91</v>
      </c>
      <c r="I380">
        <v>1487.19</v>
      </c>
      <c r="J380">
        <v>73</v>
      </c>
      <c r="K380">
        <v>72.77</v>
      </c>
      <c r="L380">
        <v>4.1680000000000001</v>
      </c>
      <c r="M380">
        <v>10.5</v>
      </c>
      <c r="N380">
        <v>4.1100000000000003</v>
      </c>
      <c r="O380">
        <v>54.16</v>
      </c>
      <c r="P380">
        <v>32.99</v>
      </c>
      <c r="Q380">
        <v>3.87</v>
      </c>
    </row>
    <row r="381" spans="1:17">
      <c r="A381" t="s">
        <v>791</v>
      </c>
      <c r="B381">
        <v>89</v>
      </c>
      <c r="C381">
        <v>16</v>
      </c>
      <c r="D381">
        <v>3.88</v>
      </c>
      <c r="E381" s="24">
        <f t="shared" si="9"/>
        <v>16.233920000000001</v>
      </c>
      <c r="F381">
        <v>4.4340000000000002</v>
      </c>
      <c r="G381">
        <v>2</v>
      </c>
      <c r="H381">
        <v>1.9</v>
      </c>
      <c r="I381">
        <v>87.95</v>
      </c>
      <c r="J381">
        <v>88</v>
      </c>
      <c r="K381">
        <v>80.099999999999994</v>
      </c>
      <c r="L381">
        <v>4.4160000000000004</v>
      </c>
      <c r="M381">
        <v>8.5500000000000007</v>
      </c>
      <c r="N381">
        <v>62.42</v>
      </c>
      <c r="O381">
        <v>12.36</v>
      </c>
      <c r="P381">
        <v>4.1500000000000004</v>
      </c>
      <c r="Q381">
        <v>1.52</v>
      </c>
    </row>
    <row r="382" spans="1:17">
      <c r="A382" t="s">
        <v>792</v>
      </c>
      <c r="B382">
        <v>88</v>
      </c>
      <c r="C382">
        <v>17.2</v>
      </c>
      <c r="D382">
        <v>3.92</v>
      </c>
      <c r="E382" s="24">
        <f t="shared" si="9"/>
        <v>16.40128</v>
      </c>
      <c r="G382">
        <v>2</v>
      </c>
      <c r="H382">
        <v>1.8</v>
      </c>
      <c r="I382">
        <v>88.41</v>
      </c>
      <c r="J382">
        <v>89</v>
      </c>
      <c r="K382">
        <v>79</v>
      </c>
      <c r="L382">
        <v>4.4379999999999997</v>
      </c>
    </row>
    <row r="383" spans="1:17">
      <c r="A383" t="s">
        <v>793</v>
      </c>
      <c r="B383">
        <v>88</v>
      </c>
      <c r="C383">
        <v>14.4</v>
      </c>
      <c r="D383">
        <v>3.88</v>
      </c>
      <c r="E383" s="24">
        <f t="shared" si="9"/>
        <v>16.233920000000001</v>
      </c>
      <c r="G383">
        <v>1.8</v>
      </c>
      <c r="H383">
        <v>1.9</v>
      </c>
      <c r="I383">
        <v>88.66</v>
      </c>
      <c r="J383">
        <v>88</v>
      </c>
      <c r="K383">
        <v>81.900000000000006</v>
      </c>
      <c r="L383">
        <v>4.3819999999999997</v>
      </c>
    </row>
    <row r="384" spans="1:17">
      <c r="A384" t="s">
        <v>794</v>
      </c>
      <c r="B384">
        <v>88</v>
      </c>
      <c r="C384">
        <v>13</v>
      </c>
      <c r="D384">
        <v>3.92</v>
      </c>
      <c r="E384" s="24">
        <f t="shared" si="9"/>
        <v>16.40128</v>
      </c>
      <c r="G384">
        <v>1.8</v>
      </c>
      <c r="H384">
        <v>2.1</v>
      </c>
      <c r="I384">
        <v>90.19</v>
      </c>
      <c r="J384">
        <v>89</v>
      </c>
      <c r="K384">
        <v>83.1</v>
      </c>
      <c r="L384">
        <v>4.3520000000000003</v>
      </c>
    </row>
    <row r="385" spans="1:17">
      <c r="A385" t="s">
        <v>795</v>
      </c>
      <c r="B385">
        <v>89</v>
      </c>
      <c r="C385">
        <v>11.3</v>
      </c>
      <c r="D385">
        <v>3.92</v>
      </c>
      <c r="E385" s="24">
        <f t="shared" si="9"/>
        <v>16.40128</v>
      </c>
      <c r="G385">
        <v>1.9</v>
      </c>
      <c r="H385">
        <v>1.8</v>
      </c>
      <c r="I385">
        <v>90.33</v>
      </c>
      <c r="J385">
        <v>89</v>
      </c>
      <c r="K385">
        <v>85</v>
      </c>
      <c r="L385">
        <v>4.3449999999999998</v>
      </c>
      <c r="O385">
        <v>14</v>
      </c>
      <c r="P385">
        <v>4</v>
      </c>
    </row>
    <row r="386" spans="1:17">
      <c r="A386" t="s">
        <v>796</v>
      </c>
      <c r="B386">
        <v>89</v>
      </c>
      <c r="C386">
        <v>11.2</v>
      </c>
      <c r="D386">
        <v>3.88</v>
      </c>
      <c r="E386" s="24">
        <f t="shared" si="9"/>
        <v>16.233920000000001</v>
      </c>
      <c r="G386">
        <v>2.2000000000000002</v>
      </c>
      <c r="H386">
        <v>2.1</v>
      </c>
      <c r="I386">
        <v>89.36</v>
      </c>
      <c r="J386">
        <v>88</v>
      </c>
      <c r="K386">
        <v>84.5</v>
      </c>
      <c r="L386">
        <v>4.3460000000000001</v>
      </c>
    </row>
    <row r="387" spans="1:17">
      <c r="A387" t="s">
        <v>797</v>
      </c>
      <c r="B387">
        <v>89</v>
      </c>
      <c r="C387">
        <v>15.8</v>
      </c>
      <c r="D387">
        <v>3.13</v>
      </c>
      <c r="E387" s="24">
        <f t="shared" si="9"/>
        <v>13.09592</v>
      </c>
      <c r="G387">
        <v>3.9</v>
      </c>
      <c r="H387">
        <v>6.1</v>
      </c>
      <c r="I387">
        <v>72.290000000000006</v>
      </c>
      <c r="J387">
        <v>71</v>
      </c>
      <c r="K387">
        <v>74.2</v>
      </c>
      <c r="L387">
        <v>4.3390000000000004</v>
      </c>
      <c r="M387">
        <v>4.2300000000000004</v>
      </c>
      <c r="N387">
        <v>34.22</v>
      </c>
      <c r="O387">
        <v>30.41</v>
      </c>
      <c r="P387">
        <v>17.760000000000002</v>
      </c>
      <c r="Q387">
        <v>5.07</v>
      </c>
    </row>
    <row r="388" spans="1:17">
      <c r="A388" t="s">
        <v>798</v>
      </c>
      <c r="B388">
        <v>82.96</v>
      </c>
      <c r="C388">
        <v>14.42</v>
      </c>
      <c r="D388">
        <v>3.82</v>
      </c>
      <c r="E388" s="24">
        <f t="shared" si="9"/>
        <v>15.98288</v>
      </c>
      <c r="G388">
        <v>1.88</v>
      </c>
      <c r="H388">
        <v>1.97</v>
      </c>
      <c r="I388">
        <v>87.26</v>
      </c>
      <c r="J388">
        <v>86.8</v>
      </c>
      <c r="K388">
        <v>81.73</v>
      </c>
      <c r="L388">
        <v>4.383</v>
      </c>
      <c r="N388">
        <v>64.89</v>
      </c>
      <c r="O388">
        <v>13.55</v>
      </c>
      <c r="P388">
        <v>5.51</v>
      </c>
    </row>
    <row r="389" spans="1:17">
      <c r="A389" t="s">
        <v>799</v>
      </c>
      <c r="B389">
        <v>88</v>
      </c>
      <c r="C389">
        <v>8.5</v>
      </c>
      <c r="D389">
        <v>2.56</v>
      </c>
      <c r="E389" s="24">
        <f t="shared" si="9"/>
        <v>10.711040000000001</v>
      </c>
      <c r="G389">
        <v>2.2000000000000002</v>
      </c>
      <c r="H389">
        <v>7.1</v>
      </c>
      <c r="I389">
        <v>62.73</v>
      </c>
      <c r="J389">
        <v>58</v>
      </c>
      <c r="K389">
        <v>82.2</v>
      </c>
      <c r="L389">
        <v>4.0979999999999999</v>
      </c>
      <c r="M389">
        <v>9.35</v>
      </c>
      <c r="N389">
        <v>4.68</v>
      </c>
      <c r="O389">
        <v>57.89</v>
      </c>
      <c r="P389">
        <v>35.89</v>
      </c>
      <c r="Q389">
        <v>4.82</v>
      </c>
    </row>
    <row r="390" spans="1:17">
      <c r="A390" t="s">
        <v>800</v>
      </c>
      <c r="B390">
        <v>90</v>
      </c>
      <c r="C390">
        <v>17.2</v>
      </c>
      <c r="D390">
        <v>3.48</v>
      </c>
      <c r="E390" s="24">
        <f t="shared" si="9"/>
        <v>14.560320000000001</v>
      </c>
      <c r="G390">
        <v>4.5999999999999996</v>
      </c>
      <c r="H390">
        <v>5.9</v>
      </c>
      <c r="I390">
        <v>79.11</v>
      </c>
      <c r="J390">
        <v>79</v>
      </c>
      <c r="K390">
        <v>72.3</v>
      </c>
      <c r="L390">
        <v>4.4050000000000002</v>
      </c>
      <c r="M390">
        <v>5.13</v>
      </c>
      <c r="N390">
        <v>23.03</v>
      </c>
      <c r="O390">
        <v>37.380000000000003</v>
      </c>
      <c r="P390">
        <v>13.2</v>
      </c>
      <c r="Q390">
        <v>3.74</v>
      </c>
    </row>
    <row r="391" spans="1:17">
      <c r="A391" t="s">
        <v>801</v>
      </c>
      <c r="B391">
        <v>25</v>
      </c>
      <c r="C391">
        <v>8.1</v>
      </c>
      <c r="D391">
        <v>2.6</v>
      </c>
      <c r="E391" s="24">
        <f t="shared" si="9"/>
        <v>10.878400000000001</v>
      </c>
      <c r="G391">
        <v>3</v>
      </c>
      <c r="H391">
        <v>8.4</v>
      </c>
      <c r="I391">
        <v>63.99</v>
      </c>
      <c r="J391">
        <v>59</v>
      </c>
      <c r="K391">
        <v>80.5</v>
      </c>
      <c r="L391">
        <v>4.08</v>
      </c>
      <c r="M391">
        <v>1.81</v>
      </c>
      <c r="N391">
        <v>6.62</v>
      </c>
      <c r="O391">
        <v>56.54</v>
      </c>
      <c r="P391">
        <v>36.590000000000003</v>
      </c>
      <c r="Q391">
        <v>4.7699999999999996</v>
      </c>
    </row>
    <row r="392" spans="1:17">
      <c r="A392" t="s">
        <v>802</v>
      </c>
      <c r="B392">
        <v>89</v>
      </c>
      <c r="C392">
        <v>3.6</v>
      </c>
      <c r="D392">
        <v>1.81</v>
      </c>
      <c r="E392" s="24">
        <f t="shared" si="9"/>
        <v>7.5730400000000007</v>
      </c>
      <c r="G392">
        <v>1.8</v>
      </c>
      <c r="H392">
        <v>7.8</v>
      </c>
      <c r="I392">
        <v>45.77</v>
      </c>
      <c r="J392">
        <v>41</v>
      </c>
      <c r="K392">
        <v>86.8</v>
      </c>
      <c r="L392">
        <v>3.9750000000000001</v>
      </c>
      <c r="M392">
        <v>2.5</v>
      </c>
      <c r="N392">
        <v>1.64</v>
      </c>
      <c r="O392">
        <v>73.650000000000006</v>
      </c>
      <c r="P392">
        <v>50.23</v>
      </c>
      <c r="Q392">
        <v>7.42</v>
      </c>
    </row>
    <row r="393" spans="1:17" ht="15">
      <c r="A393" s="202" t="s">
        <v>803</v>
      </c>
      <c r="B393" s="202"/>
      <c r="C393" s="202"/>
      <c r="D393" s="202"/>
      <c r="E393" s="202"/>
      <c r="F393" s="202"/>
      <c r="G393" s="202"/>
      <c r="H393" s="202"/>
      <c r="I393" s="202"/>
      <c r="J393" s="202"/>
      <c r="K393" s="202"/>
      <c r="L393" s="202"/>
      <c r="M393" s="202"/>
      <c r="N393" s="202"/>
      <c r="O393" s="202"/>
      <c r="P393" s="202"/>
      <c r="Q393" s="202"/>
    </row>
    <row r="394" spans="1:17">
      <c r="A394" t="s">
        <v>804</v>
      </c>
      <c r="B394">
        <v>88</v>
      </c>
      <c r="C394">
        <v>15.9</v>
      </c>
      <c r="D394">
        <v>3.75</v>
      </c>
      <c r="E394" s="24">
        <f>D394*4.184</f>
        <v>15.690000000000001</v>
      </c>
      <c r="G394">
        <v>2</v>
      </c>
      <c r="H394">
        <v>1.8</v>
      </c>
      <c r="I394">
        <v>84.95</v>
      </c>
      <c r="J394">
        <v>85</v>
      </c>
      <c r="K394">
        <v>80.3</v>
      </c>
      <c r="L394">
        <v>4.4189999999999996</v>
      </c>
    </row>
    <row r="395" spans="1:17" ht="15">
      <c r="A395" s="202" t="s">
        <v>805</v>
      </c>
      <c r="B395" s="202"/>
      <c r="C395" s="202"/>
      <c r="D395" s="202"/>
      <c r="E395" s="202"/>
      <c r="F395" s="202"/>
      <c r="G395" s="202"/>
      <c r="H395" s="202"/>
      <c r="I395" s="202"/>
      <c r="J395" s="202"/>
      <c r="K395" s="202"/>
      <c r="L395" s="202"/>
      <c r="M395" s="202"/>
      <c r="N395" s="202"/>
      <c r="O395" s="202"/>
      <c r="P395" s="202"/>
      <c r="Q395" s="202"/>
    </row>
    <row r="396" spans="1:17">
      <c r="A396" t="s">
        <v>806</v>
      </c>
      <c r="B396">
        <v>28</v>
      </c>
      <c r="C396">
        <v>21.5</v>
      </c>
      <c r="D396">
        <v>3.31</v>
      </c>
      <c r="E396" s="24">
        <f>D396*4.184</f>
        <v>13.84904</v>
      </c>
      <c r="G396">
        <v>2.2000000000000002</v>
      </c>
      <c r="H396">
        <v>10</v>
      </c>
      <c r="I396">
        <v>79.78</v>
      </c>
      <c r="J396">
        <v>75</v>
      </c>
      <c r="K396">
        <v>66.3</v>
      </c>
      <c r="L396">
        <v>4.173</v>
      </c>
    </row>
    <row r="397" spans="1:17">
      <c r="A397" t="s">
        <v>807</v>
      </c>
      <c r="B397">
        <v>45</v>
      </c>
      <c r="C397">
        <v>9.8000000000000007</v>
      </c>
      <c r="D397">
        <v>2.69</v>
      </c>
      <c r="E397" s="24">
        <f>D397*4.184</f>
        <v>11.254960000000001</v>
      </c>
      <c r="G397">
        <v>3.6</v>
      </c>
      <c r="H397">
        <v>9.3000000000000007</v>
      </c>
      <c r="I397">
        <v>65.89</v>
      </c>
      <c r="J397">
        <v>61</v>
      </c>
      <c r="K397">
        <v>77.3</v>
      </c>
      <c r="L397">
        <v>4.0999999999999996</v>
      </c>
    </row>
    <row r="398" spans="1:17">
      <c r="A398" t="s">
        <v>808</v>
      </c>
      <c r="B398">
        <v>80</v>
      </c>
      <c r="C398">
        <v>3.1</v>
      </c>
      <c r="D398">
        <v>2.16</v>
      </c>
      <c r="E398" s="24">
        <f>D398*4.184</f>
        <v>9.0374400000000001</v>
      </c>
      <c r="G398">
        <v>1.2</v>
      </c>
      <c r="H398">
        <v>4.0999999999999996</v>
      </c>
      <c r="I398">
        <v>52.99</v>
      </c>
      <c r="J398">
        <v>49</v>
      </c>
      <c r="K398">
        <v>91.6</v>
      </c>
      <c r="L398">
        <v>4.0890000000000004</v>
      </c>
    </row>
    <row r="399" spans="1:17">
      <c r="A399" t="s">
        <v>809</v>
      </c>
      <c r="B399">
        <v>95</v>
      </c>
      <c r="C399">
        <v>12.4</v>
      </c>
      <c r="D399">
        <v>2.34</v>
      </c>
      <c r="E399" s="24">
        <f>D399*4.184</f>
        <v>9.7905599999999993</v>
      </c>
      <c r="G399">
        <v>2.2999999999999998</v>
      </c>
      <c r="H399">
        <v>7.2</v>
      </c>
      <c r="I399">
        <v>56.51</v>
      </c>
      <c r="J399">
        <v>53</v>
      </c>
      <c r="K399">
        <v>78.099999999999994</v>
      </c>
      <c r="L399">
        <v>4.1580000000000004</v>
      </c>
    </row>
    <row r="400" spans="1:17" ht="15">
      <c r="A400" s="202" t="s">
        <v>330</v>
      </c>
      <c r="B400" s="202"/>
      <c r="C400" s="202"/>
      <c r="D400" s="202"/>
      <c r="E400" s="202"/>
      <c r="F400" s="202"/>
      <c r="G400" s="202"/>
      <c r="H400" s="202"/>
      <c r="I400" s="202"/>
      <c r="J400" s="202"/>
      <c r="K400" s="202"/>
      <c r="L400" s="202"/>
      <c r="M400" s="202"/>
      <c r="N400" s="202"/>
      <c r="O400" s="202"/>
      <c r="P400" s="202"/>
      <c r="Q400" s="202"/>
    </row>
    <row r="401" spans="1:17">
      <c r="A401" t="s">
        <v>810</v>
      </c>
      <c r="B401">
        <v>93</v>
      </c>
      <c r="C401">
        <v>14.2</v>
      </c>
      <c r="D401">
        <v>3.57</v>
      </c>
      <c r="E401" s="24">
        <f>D401*4.184</f>
        <v>14.93688</v>
      </c>
      <c r="F401">
        <v>3.9049999999999998</v>
      </c>
      <c r="G401">
        <v>0.7</v>
      </c>
      <c r="H401">
        <v>9.8000000000000007</v>
      </c>
      <c r="I401">
        <v>90.06</v>
      </c>
      <c r="J401">
        <v>81</v>
      </c>
      <c r="K401">
        <v>75.3</v>
      </c>
      <c r="L401">
        <v>3.9929999999999999</v>
      </c>
      <c r="M401">
        <v>56.09</v>
      </c>
      <c r="N401">
        <v>1.28</v>
      </c>
      <c r="O401">
        <v>0.55000000000000004</v>
      </c>
      <c r="P401">
        <v>0.4</v>
      </c>
      <c r="Q401">
        <v>0.1</v>
      </c>
    </row>
    <row r="402" spans="1:17">
      <c r="A402" t="s">
        <v>811</v>
      </c>
      <c r="B402">
        <v>7</v>
      </c>
      <c r="C402">
        <v>13</v>
      </c>
      <c r="D402">
        <v>4.1399999999999997</v>
      </c>
      <c r="E402" s="24">
        <f>D402*4.184</f>
        <v>17.321759999999998</v>
      </c>
      <c r="G402">
        <v>4.3</v>
      </c>
      <c r="H402">
        <v>8.6999999999999993</v>
      </c>
      <c r="I402">
        <v>98.67</v>
      </c>
      <c r="J402">
        <v>94</v>
      </c>
      <c r="K402">
        <v>74</v>
      </c>
      <c r="L402">
        <v>4.21</v>
      </c>
      <c r="M402">
        <v>50.6</v>
      </c>
      <c r="N402">
        <v>3.28</v>
      </c>
      <c r="O402">
        <v>1.66</v>
      </c>
      <c r="P402">
        <v>4.2300000000000004</v>
      </c>
      <c r="Q402">
        <v>0.6</v>
      </c>
    </row>
    <row r="403" spans="1:17">
      <c r="A403" t="s">
        <v>812</v>
      </c>
      <c r="B403">
        <v>93</v>
      </c>
      <c r="C403">
        <v>17.899999999999999</v>
      </c>
      <c r="D403">
        <v>3.48</v>
      </c>
      <c r="E403" s="24">
        <f>D403*4.184</f>
        <v>14.560320000000001</v>
      </c>
      <c r="G403">
        <v>1.1000000000000001</v>
      </c>
      <c r="H403">
        <v>16.5</v>
      </c>
      <c r="I403">
        <v>92.87</v>
      </c>
      <c r="J403">
        <v>79</v>
      </c>
      <c r="K403">
        <v>64.5</v>
      </c>
      <c r="L403">
        <v>3.7919999999999998</v>
      </c>
    </row>
    <row r="404" spans="1:17" ht="15">
      <c r="A404" s="202" t="s">
        <v>813</v>
      </c>
      <c r="B404" s="202"/>
      <c r="C404" s="202"/>
      <c r="D404" s="202"/>
      <c r="E404" s="202"/>
      <c r="F404" s="202"/>
      <c r="G404" s="202"/>
      <c r="H404" s="202"/>
      <c r="I404" s="202"/>
      <c r="J404" s="202"/>
      <c r="K404" s="202"/>
      <c r="L404" s="202"/>
      <c r="M404" s="202"/>
      <c r="N404" s="202"/>
      <c r="O404" s="202"/>
      <c r="P404" s="202"/>
      <c r="Q404" s="202"/>
    </row>
    <row r="405" spans="1:17">
      <c r="A405" t="s">
        <v>814</v>
      </c>
      <c r="B405">
        <v>80</v>
      </c>
      <c r="C405">
        <v>10.8</v>
      </c>
      <c r="D405">
        <v>1.54</v>
      </c>
      <c r="E405" s="24">
        <f>D405*4.184</f>
        <v>6.4433600000000002</v>
      </c>
      <c r="G405">
        <v>2.8</v>
      </c>
      <c r="H405">
        <v>15.8</v>
      </c>
      <c r="I405">
        <v>40.89</v>
      </c>
      <c r="J405">
        <v>35</v>
      </c>
      <c r="K405">
        <v>70.599999999999994</v>
      </c>
      <c r="L405">
        <v>3.8029999999999999</v>
      </c>
      <c r="O405">
        <v>72</v>
      </c>
      <c r="P405">
        <v>44</v>
      </c>
      <c r="Q405">
        <v>10</v>
      </c>
    </row>
    <row r="406" spans="1:17" ht="15">
      <c r="A406" s="202" t="s">
        <v>815</v>
      </c>
      <c r="B406" s="202"/>
      <c r="C406" s="202"/>
      <c r="D406" s="202"/>
      <c r="E406" s="202"/>
      <c r="F406" s="202"/>
      <c r="G406" s="202"/>
      <c r="H406" s="202"/>
      <c r="I406" s="202"/>
      <c r="J406" s="202"/>
      <c r="K406" s="202"/>
      <c r="L406" s="202"/>
      <c r="M406" s="202"/>
      <c r="N406" s="202"/>
      <c r="O406" s="202"/>
      <c r="P406" s="202"/>
      <c r="Q406" s="202"/>
    </row>
    <row r="407" spans="1:17">
      <c r="A407" t="s">
        <v>816</v>
      </c>
      <c r="B407">
        <v>93</v>
      </c>
      <c r="C407">
        <v>46.9</v>
      </c>
      <c r="D407">
        <v>3.48</v>
      </c>
      <c r="E407" s="24">
        <f>D407*4.184</f>
        <v>14.560320000000001</v>
      </c>
      <c r="G407">
        <v>0.9</v>
      </c>
      <c r="H407">
        <v>7.1</v>
      </c>
      <c r="I407">
        <v>75.91</v>
      </c>
      <c r="J407">
        <v>79</v>
      </c>
      <c r="K407">
        <v>45.1</v>
      </c>
      <c r="L407">
        <v>4.6059999999999999</v>
      </c>
      <c r="M407">
        <v>9.42</v>
      </c>
      <c r="N407">
        <v>8.8699999999999992</v>
      </c>
      <c r="O407">
        <v>7.56</v>
      </c>
      <c r="P407">
        <v>4.38</v>
      </c>
      <c r="Q407">
        <v>1.4</v>
      </c>
    </row>
    <row r="408" spans="1:17" ht="15">
      <c r="A408" s="202" t="s">
        <v>818</v>
      </c>
      <c r="B408" s="202"/>
      <c r="C408" s="202"/>
      <c r="D408" s="202"/>
      <c r="E408" s="202"/>
      <c r="F408" s="202"/>
      <c r="G408" s="202"/>
      <c r="H408" s="202"/>
      <c r="I408" s="202"/>
      <c r="J408" s="202"/>
      <c r="K408" s="202"/>
      <c r="L408" s="202"/>
      <c r="M408" s="202"/>
      <c r="N408" s="202"/>
      <c r="O408" s="202"/>
      <c r="P408" s="202"/>
      <c r="Q408" s="202"/>
    </row>
    <row r="409" spans="1:17">
      <c r="A409" t="s">
        <v>817</v>
      </c>
      <c r="B409">
        <v>94</v>
      </c>
      <c r="C409">
        <v>51.2</v>
      </c>
      <c r="D409">
        <v>3.35</v>
      </c>
      <c r="E409" s="24">
        <f>D409*4.184</f>
        <v>14.016400000000001</v>
      </c>
      <c r="G409">
        <v>1.2</v>
      </c>
      <c r="H409">
        <v>6.6</v>
      </c>
      <c r="I409">
        <v>71.459999999999994</v>
      </c>
      <c r="J409">
        <v>76</v>
      </c>
      <c r="K409">
        <v>41</v>
      </c>
      <c r="L409">
        <v>4.7069999999999999</v>
      </c>
    </row>
    <row r="410" spans="1:17" ht="15">
      <c r="A410" s="202" t="s">
        <v>819</v>
      </c>
      <c r="B410" s="202"/>
      <c r="C410" s="202"/>
      <c r="D410" s="202"/>
      <c r="E410" s="202"/>
      <c r="F410" s="202"/>
      <c r="G410" s="202"/>
      <c r="H410" s="202"/>
      <c r="I410" s="202"/>
      <c r="J410" s="202"/>
      <c r="K410" s="202"/>
      <c r="L410" s="202"/>
      <c r="M410" s="202"/>
      <c r="N410" s="202"/>
      <c r="O410" s="202"/>
      <c r="P410" s="202"/>
      <c r="Q410" s="202"/>
    </row>
    <row r="411" spans="1:17">
      <c r="A411" t="s">
        <v>820</v>
      </c>
      <c r="B411">
        <v>93</v>
      </c>
      <c r="C411">
        <v>51.8</v>
      </c>
      <c r="D411">
        <v>3.4</v>
      </c>
      <c r="E411" s="24">
        <f>D411*4.184</f>
        <v>14.2256</v>
      </c>
      <c r="G411">
        <v>1.1000000000000001</v>
      </c>
      <c r="H411">
        <v>8.6</v>
      </c>
      <c r="I411">
        <v>73.86</v>
      </c>
      <c r="J411">
        <v>77</v>
      </c>
      <c r="K411">
        <v>38.5</v>
      </c>
      <c r="L411">
        <v>4.6280000000000001</v>
      </c>
    </row>
    <row r="412" spans="1:17" ht="15">
      <c r="A412" s="202" t="s">
        <v>821</v>
      </c>
      <c r="B412" s="202"/>
      <c r="C412" s="202"/>
      <c r="D412" s="202"/>
      <c r="E412" s="202"/>
      <c r="F412" s="202"/>
      <c r="G412" s="202"/>
      <c r="H412" s="202"/>
      <c r="I412" s="202"/>
      <c r="J412" s="202"/>
      <c r="K412" s="202"/>
      <c r="L412" s="202"/>
      <c r="M412" s="202"/>
      <c r="N412" s="202"/>
      <c r="O412" s="202"/>
      <c r="P412" s="202"/>
      <c r="Q412" s="202"/>
    </row>
    <row r="413" spans="1:17">
      <c r="A413" t="s">
        <v>822</v>
      </c>
      <c r="B413">
        <v>93</v>
      </c>
      <c r="C413">
        <v>52.7</v>
      </c>
      <c r="D413">
        <v>3.44</v>
      </c>
      <c r="E413" s="24">
        <f>D413*4.184</f>
        <v>14.39296</v>
      </c>
      <c r="G413">
        <v>1.7</v>
      </c>
      <c r="H413">
        <v>8.3000000000000007</v>
      </c>
      <c r="I413">
        <v>73.760000000000005</v>
      </c>
      <c r="J413">
        <v>78</v>
      </c>
      <c r="K413">
        <v>37.299999999999997</v>
      </c>
      <c r="L413">
        <v>4.6849999999999996</v>
      </c>
    </row>
    <row r="414" spans="1:17">
      <c r="A414" t="s">
        <v>854</v>
      </c>
      <c r="B414">
        <v>72</v>
      </c>
      <c r="C414">
        <v>56</v>
      </c>
    </row>
  </sheetData>
  <sheetProtection algorithmName="SHA-512" hashValue="E19SBn0ibzGeFIRTZ8HqYUn3Sm4EwStmGZGk01uwxFIabIc0BTu3yf4gMRZxRWkbz1opWIVvgqDvtBCBO4ZcCQ==" saltValue="1peWaLGxvLi7u7EBMICnMQ==" spinCount="100000" sheet="1" objects="1" scenarios="1"/>
  <mergeCells count="106">
    <mergeCell ref="A406:Q406"/>
    <mergeCell ref="A408:Q408"/>
    <mergeCell ref="A410:Q410"/>
    <mergeCell ref="A412:Q412"/>
    <mergeCell ref="A373:Q373"/>
    <mergeCell ref="A375:Q375"/>
    <mergeCell ref="A393:Q393"/>
    <mergeCell ref="A395:Q395"/>
    <mergeCell ref="A400:Q400"/>
    <mergeCell ref="A404:Q404"/>
    <mergeCell ref="A353:Q353"/>
    <mergeCell ref="A361:Q361"/>
    <mergeCell ref="A363:Q363"/>
    <mergeCell ref="A366:Q366"/>
    <mergeCell ref="A369:Q369"/>
    <mergeCell ref="A371:Q371"/>
    <mergeCell ref="A337:Q337"/>
    <mergeCell ref="A339:Q339"/>
    <mergeCell ref="A341:Q341"/>
    <mergeCell ref="A345:Q345"/>
    <mergeCell ref="A347:Q347"/>
    <mergeCell ref="A351:Q351"/>
    <mergeCell ref="A305:Q305"/>
    <mergeCell ref="A308:Q308"/>
    <mergeCell ref="A319:Q319"/>
    <mergeCell ref="A321:Q321"/>
    <mergeCell ref="A323:Q323"/>
    <mergeCell ref="A328:Q328"/>
    <mergeCell ref="A290:Q290"/>
    <mergeCell ref="A293:Q293"/>
    <mergeCell ref="A296:Q296"/>
    <mergeCell ref="A298:Q298"/>
    <mergeCell ref="A301:Q301"/>
    <mergeCell ref="A303:Q303"/>
    <mergeCell ref="A268:Q268"/>
    <mergeCell ref="A274:Q274"/>
    <mergeCell ref="A278:Q278"/>
    <mergeCell ref="A281:Q281"/>
    <mergeCell ref="A286:Q286"/>
    <mergeCell ref="A288:Q288"/>
    <mergeCell ref="A248:Q248"/>
    <mergeCell ref="A252:Q252"/>
    <mergeCell ref="A254:Q254"/>
    <mergeCell ref="A256:Q256"/>
    <mergeCell ref="A260:Q260"/>
    <mergeCell ref="A263:Q263"/>
    <mergeCell ref="A223:Q223"/>
    <mergeCell ref="A228:Q228"/>
    <mergeCell ref="A233:Q233"/>
    <mergeCell ref="A238:Q238"/>
    <mergeCell ref="A243:Q243"/>
    <mergeCell ref="A245:Q245"/>
    <mergeCell ref="A202:Q202"/>
    <mergeCell ref="A204:Q204"/>
    <mergeCell ref="A206:Q206"/>
    <mergeCell ref="A209:Q209"/>
    <mergeCell ref="A212:Q212"/>
    <mergeCell ref="A214:Q214"/>
    <mergeCell ref="A184:Q184"/>
    <mergeCell ref="A190:Q190"/>
    <mergeCell ref="A192:Q192"/>
    <mergeCell ref="A194:Q194"/>
    <mergeCell ref="A196:Q196"/>
    <mergeCell ref="A200:Q200"/>
    <mergeCell ref="A164:Q164"/>
    <mergeCell ref="A167:Q167"/>
    <mergeCell ref="A169:Q169"/>
    <mergeCell ref="A174:Q174"/>
    <mergeCell ref="A177:Q177"/>
    <mergeCell ref="A180:Q180"/>
    <mergeCell ref="A111:Q111"/>
    <mergeCell ref="A143:Q143"/>
    <mergeCell ref="A146:Q146"/>
    <mergeCell ref="A156:Q156"/>
    <mergeCell ref="A158:Q158"/>
    <mergeCell ref="A160:Q160"/>
    <mergeCell ref="A90:Q90"/>
    <mergeCell ref="A94:Q94"/>
    <mergeCell ref="A97:Q97"/>
    <mergeCell ref="A100:Q100"/>
    <mergeCell ref="A103:Q103"/>
    <mergeCell ref="A108:Q108"/>
    <mergeCell ref="A73:Q73"/>
    <mergeCell ref="A75:Q75"/>
    <mergeCell ref="A78:Q78"/>
    <mergeCell ref="A81:Q81"/>
    <mergeCell ref="A83:Q83"/>
    <mergeCell ref="A86:Q86"/>
    <mergeCell ref="A51:Q51"/>
    <mergeCell ref="A56:Q56"/>
    <mergeCell ref="A60:Q60"/>
    <mergeCell ref="A63:Q63"/>
    <mergeCell ref="A67:Q67"/>
    <mergeCell ref="A71:Q71"/>
    <mergeCell ref="A33:Q33"/>
    <mergeCell ref="A35:Q35"/>
    <mergeCell ref="A37:Q37"/>
    <mergeCell ref="A42:Q42"/>
    <mergeCell ref="A45:Q45"/>
    <mergeCell ref="A48:Q48"/>
    <mergeCell ref="A2:Q2"/>
    <mergeCell ref="A17:Q17"/>
    <mergeCell ref="A19:Q19"/>
    <mergeCell ref="A21:Q21"/>
    <mergeCell ref="A24:Q24"/>
    <mergeCell ref="A26:Q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9BCE5-22DE-4E9E-A006-8BB3EEA61C25}">
  <sheetPr>
    <tabColor theme="2" tint="0.39997558519241921"/>
  </sheetPr>
  <dimension ref="A1:S346"/>
  <sheetViews>
    <sheetView topLeftCell="A48" workbookViewId="0">
      <selection activeCell="G67" sqref="G67"/>
    </sheetView>
  </sheetViews>
  <sheetFormatPr defaultRowHeight="14.25"/>
  <cols>
    <col min="1" max="2" width="9.125" style="84"/>
    <col min="3" max="3" width="26.875" style="84" customWidth="1"/>
    <col min="4" max="5" width="9.125" style="84"/>
    <col min="6" max="6" width="54" style="1" bestFit="1" customWidth="1"/>
    <col min="7" max="7" width="38.375" style="1" customWidth="1"/>
    <col min="8" max="11" width="9.125" style="84"/>
    <col min="12" max="12" width="9.375" style="84" bestFit="1" customWidth="1"/>
    <col min="13" max="19" width="9.125" style="84"/>
  </cols>
  <sheetData>
    <row r="1" spans="6:12" ht="15.75">
      <c r="F1" s="12" t="s">
        <v>447</v>
      </c>
      <c r="G1" s="128" t="s">
        <v>836</v>
      </c>
    </row>
    <row r="2" spans="6:12">
      <c r="F2" s="1" t="s">
        <v>218</v>
      </c>
      <c r="G2" s="1" t="s">
        <v>243</v>
      </c>
    </row>
    <row r="3" spans="6:12">
      <c r="F3" s="1" t="s">
        <v>448</v>
      </c>
      <c r="G3" s="1" t="s">
        <v>521</v>
      </c>
    </row>
    <row r="4" spans="6:12">
      <c r="F4" s="1" t="s">
        <v>449</v>
      </c>
      <c r="G4" s="1" t="s">
        <v>510</v>
      </c>
      <c r="L4" s="129"/>
    </row>
    <row r="5" spans="6:12">
      <c r="F5" s="1" t="s">
        <v>450</v>
      </c>
      <c r="G5" s="1" t="s">
        <v>512</v>
      </c>
      <c r="L5" s="129"/>
    </row>
    <row r="6" spans="6:12">
      <c r="F6" s="1" t="s">
        <v>451</v>
      </c>
      <c r="G6" s="1" t="s">
        <v>509</v>
      </c>
    </row>
    <row r="7" spans="6:12">
      <c r="F7" s="1" t="s">
        <v>452</v>
      </c>
      <c r="G7" s="1" t="s">
        <v>511</v>
      </c>
    </row>
    <row r="8" spans="6:12">
      <c r="F8" s="1" t="s">
        <v>851</v>
      </c>
      <c r="G8" s="1" t="s">
        <v>513</v>
      </c>
    </row>
    <row r="9" spans="6:12">
      <c r="F9" s="1" t="s">
        <v>214</v>
      </c>
      <c r="G9" s="1" t="s">
        <v>515</v>
      </c>
    </row>
    <row r="10" spans="6:12">
      <c r="F10" s="1" t="s">
        <v>213</v>
      </c>
      <c r="G10" s="1" t="s">
        <v>516</v>
      </c>
    </row>
    <row r="11" spans="6:12">
      <c r="F11" s="1" t="s">
        <v>823</v>
      </c>
      <c r="G11" s="1" t="s">
        <v>514</v>
      </c>
    </row>
    <row r="12" spans="6:12">
      <c r="F12" s="1" t="s">
        <v>824</v>
      </c>
      <c r="G12" s="1" t="s">
        <v>517</v>
      </c>
    </row>
    <row r="13" spans="6:12">
      <c r="F13" s="1" t="s">
        <v>219</v>
      </c>
      <c r="G13" s="1" t="s">
        <v>518</v>
      </c>
    </row>
    <row r="14" spans="6:12">
      <c r="F14" s="1" t="s">
        <v>211</v>
      </c>
      <c r="G14" s="1" t="s">
        <v>520</v>
      </c>
    </row>
    <row r="15" spans="6:12">
      <c r="F15" s="1" t="s">
        <v>453</v>
      </c>
      <c r="G15" s="1" t="s">
        <v>519</v>
      </c>
    </row>
    <row r="16" spans="6:12">
      <c r="F16" s="1" t="s">
        <v>454</v>
      </c>
      <c r="G16" s="1" t="s">
        <v>522</v>
      </c>
    </row>
    <row r="17" spans="6:7">
      <c r="F17" s="1" t="s">
        <v>209</v>
      </c>
      <c r="G17" s="1" t="s">
        <v>578</v>
      </c>
    </row>
    <row r="18" spans="6:7">
      <c r="F18" s="1" t="s">
        <v>455</v>
      </c>
      <c r="G18" s="1" t="s">
        <v>579</v>
      </c>
    </row>
    <row r="19" spans="6:7">
      <c r="F19" s="1" t="s">
        <v>456</v>
      </c>
      <c r="G19" s="1" t="s">
        <v>628</v>
      </c>
    </row>
    <row r="20" spans="6:7">
      <c r="F20" s="1" t="s">
        <v>244</v>
      </c>
      <c r="G20" s="1" t="s">
        <v>523</v>
      </c>
    </row>
    <row r="21" spans="6:7">
      <c r="F21" s="1" t="s">
        <v>440</v>
      </c>
      <c r="G21" s="1" t="s">
        <v>524</v>
      </c>
    </row>
    <row r="22" spans="6:7">
      <c r="F22" s="1" t="s">
        <v>825</v>
      </c>
      <c r="G22" s="1" t="s">
        <v>525</v>
      </c>
    </row>
    <row r="23" spans="6:7">
      <c r="F23" s="1" t="s">
        <v>826</v>
      </c>
      <c r="G23" s="1" t="s">
        <v>497</v>
      </c>
    </row>
    <row r="24" spans="6:7">
      <c r="F24" s="1" t="s">
        <v>457</v>
      </c>
      <c r="G24" s="1" t="s">
        <v>526</v>
      </c>
    </row>
    <row r="25" spans="6:7">
      <c r="F25" s="1" t="s">
        <v>458</v>
      </c>
      <c r="G25" s="1" t="s">
        <v>528</v>
      </c>
    </row>
    <row r="26" spans="6:7">
      <c r="F26" s="1" t="s">
        <v>459</v>
      </c>
      <c r="G26" s="1" t="s">
        <v>527</v>
      </c>
    </row>
    <row r="27" spans="6:7">
      <c r="F27" s="1" t="s">
        <v>827</v>
      </c>
      <c r="G27" s="1" t="s">
        <v>529</v>
      </c>
    </row>
    <row r="28" spans="6:7">
      <c r="F28" s="1" t="s">
        <v>828</v>
      </c>
      <c r="G28" s="1" t="s">
        <v>530</v>
      </c>
    </row>
    <row r="29" spans="6:7">
      <c r="F29" s="1" t="s">
        <v>485</v>
      </c>
      <c r="G29" s="1" t="s">
        <v>531</v>
      </c>
    </row>
    <row r="30" spans="6:7">
      <c r="F30" s="1" t="s">
        <v>486</v>
      </c>
      <c r="G30" s="1" t="s">
        <v>532</v>
      </c>
    </row>
    <row r="31" spans="6:7">
      <c r="F31" s="1" t="s">
        <v>441</v>
      </c>
      <c r="G31" s="1" t="s">
        <v>566</v>
      </c>
    </row>
    <row r="32" spans="6:7">
      <c r="F32" s="1" t="s">
        <v>829</v>
      </c>
      <c r="G32" s="1" t="s">
        <v>567</v>
      </c>
    </row>
    <row r="33" spans="6:7">
      <c r="F33" s="1" t="s">
        <v>460</v>
      </c>
      <c r="G33" s="1" t="s">
        <v>533</v>
      </c>
    </row>
    <row r="34" spans="6:7">
      <c r="F34" s="1" t="s">
        <v>461</v>
      </c>
      <c r="G34" s="1" t="s">
        <v>227</v>
      </c>
    </row>
    <row r="35" spans="6:7">
      <c r="F35" s="1" t="s">
        <v>462</v>
      </c>
      <c r="G35" s="1" t="s">
        <v>539</v>
      </c>
    </row>
    <row r="36" spans="6:7">
      <c r="F36" s="1" t="s">
        <v>463</v>
      </c>
      <c r="G36" s="1" t="s">
        <v>540</v>
      </c>
    </row>
    <row r="37" spans="6:7">
      <c r="F37" s="1" t="s">
        <v>464</v>
      </c>
      <c r="G37" s="1" t="s">
        <v>716</v>
      </c>
    </row>
    <row r="38" spans="6:7">
      <c r="F38" s="1" t="s">
        <v>465</v>
      </c>
      <c r="G38" s="1" t="s">
        <v>780</v>
      </c>
    </row>
    <row r="39" spans="6:7">
      <c r="F39" s="1" t="s">
        <v>466</v>
      </c>
      <c r="G39" s="1" t="s">
        <v>781</v>
      </c>
    </row>
    <row r="40" spans="6:7">
      <c r="F40" s="1" t="s">
        <v>467</v>
      </c>
      <c r="G40" s="1" t="s">
        <v>714</v>
      </c>
    </row>
    <row r="41" spans="6:7">
      <c r="F41" s="1" t="s">
        <v>830</v>
      </c>
      <c r="G41" s="1" t="s">
        <v>553</v>
      </c>
    </row>
    <row r="42" spans="6:7">
      <c r="F42" s="1" t="s">
        <v>209</v>
      </c>
      <c r="G42" s="1" t="s">
        <v>552</v>
      </c>
    </row>
    <row r="43" spans="6:7">
      <c r="F43" s="1" t="s">
        <v>455</v>
      </c>
      <c r="G43" s="1" t="s">
        <v>554</v>
      </c>
    </row>
    <row r="44" spans="6:7">
      <c r="F44" s="1" t="s">
        <v>244</v>
      </c>
      <c r="G44" s="1" t="s">
        <v>499</v>
      </c>
    </row>
    <row r="45" spans="6:7">
      <c r="F45" s="1" t="s">
        <v>468</v>
      </c>
      <c r="G45" s="1" t="s">
        <v>500</v>
      </c>
    </row>
    <row r="46" spans="6:7">
      <c r="F46" s="1" t="s">
        <v>469</v>
      </c>
      <c r="G46" s="1" t="s">
        <v>816</v>
      </c>
    </row>
    <row r="47" spans="6:7">
      <c r="F47" s="1" t="s">
        <v>470</v>
      </c>
      <c r="G47" s="1" t="s">
        <v>555</v>
      </c>
    </row>
    <row r="48" spans="6:7">
      <c r="F48" s="1" t="s">
        <v>471</v>
      </c>
      <c r="G48" s="1" t="s">
        <v>557</v>
      </c>
    </row>
    <row r="49" spans="6:7">
      <c r="F49" s="1" t="s">
        <v>206</v>
      </c>
      <c r="G49" s="1" t="s">
        <v>556</v>
      </c>
    </row>
    <row r="50" spans="6:7">
      <c r="F50" s="1" t="s">
        <v>472</v>
      </c>
      <c r="G50" s="1" t="s">
        <v>240</v>
      </c>
    </row>
    <row r="51" spans="6:7">
      <c r="F51" s="1" t="s">
        <v>473</v>
      </c>
      <c r="G51" s="1" t="s">
        <v>239</v>
      </c>
    </row>
    <row r="52" spans="6:7">
      <c r="F52" s="1" t="s">
        <v>831</v>
      </c>
      <c r="G52" s="1" t="s">
        <v>718</v>
      </c>
    </row>
    <row r="53" spans="6:7">
      <c r="F53" s="1" t="s">
        <v>832</v>
      </c>
      <c r="G53" s="1" t="s">
        <v>719</v>
      </c>
    </row>
    <row r="54" spans="6:7">
      <c r="F54" s="1" t="s">
        <v>496</v>
      </c>
      <c r="G54" s="1" t="s">
        <v>564</v>
      </c>
    </row>
    <row r="55" spans="6:7">
      <c r="F55" s="1" t="s">
        <v>833</v>
      </c>
      <c r="G55" s="1" t="s">
        <v>545</v>
      </c>
    </row>
    <row r="56" spans="6:7">
      <c r="F56" s="1" t="s">
        <v>474</v>
      </c>
      <c r="G56" s="1" t="s">
        <v>546</v>
      </c>
    </row>
    <row r="57" spans="6:7">
      <c r="F57" s="1" t="s">
        <v>475</v>
      </c>
      <c r="G57" s="1" t="s">
        <v>569</v>
      </c>
    </row>
    <row r="58" spans="6:7">
      <c r="F58" s="1" t="s">
        <v>476</v>
      </c>
      <c r="G58" s="1" t="s">
        <v>568</v>
      </c>
    </row>
    <row r="59" spans="6:7">
      <c r="F59" s="1" t="s">
        <v>852</v>
      </c>
      <c r="G59" s="1" t="s">
        <v>570</v>
      </c>
    </row>
    <row r="60" spans="6:7">
      <c r="F60" s="1" t="s">
        <v>477</v>
      </c>
      <c r="G60" s="1" t="s">
        <v>501</v>
      </c>
    </row>
    <row r="61" spans="6:7">
      <c r="F61" s="1" t="s">
        <v>478</v>
      </c>
      <c r="G61" s="1" t="s">
        <v>502</v>
      </c>
    </row>
    <row r="62" spans="6:7">
      <c r="F62" s="1" t="s">
        <v>442</v>
      </c>
      <c r="G62" s="1" t="s">
        <v>503</v>
      </c>
    </row>
    <row r="63" spans="6:7">
      <c r="F63" s="1" t="s">
        <v>217</v>
      </c>
      <c r="G63" s="1" t="s">
        <v>576</v>
      </c>
    </row>
    <row r="64" spans="6:7">
      <c r="F64" s="1" t="s">
        <v>443</v>
      </c>
      <c r="G64" s="1" t="s">
        <v>575</v>
      </c>
    </row>
    <row r="65" spans="6:7">
      <c r="F65" s="1" t="s">
        <v>479</v>
      </c>
      <c r="G65" s="1" t="s">
        <v>574</v>
      </c>
    </row>
    <row r="66" spans="6:7">
      <c r="F66" s="1" t="s">
        <v>480</v>
      </c>
      <c r="G66" s="1" t="s">
        <v>228</v>
      </c>
    </row>
    <row r="67" spans="6:7">
      <c r="F67" s="1" t="s">
        <v>481</v>
      </c>
      <c r="G67" s="1" t="s">
        <v>542</v>
      </c>
    </row>
    <row r="68" spans="6:7">
      <c r="F68" s="1" t="s">
        <v>482</v>
      </c>
      <c r="G68" s="1" t="s">
        <v>543</v>
      </c>
    </row>
    <row r="69" spans="6:7">
      <c r="F69" s="1" t="s">
        <v>483</v>
      </c>
      <c r="G69" s="1" t="s">
        <v>591</v>
      </c>
    </row>
    <row r="70" spans="6:7">
      <c r="F70" s="1" t="s">
        <v>484</v>
      </c>
      <c r="G70" s="1" t="s">
        <v>592</v>
      </c>
    </row>
    <row r="71" spans="6:7">
      <c r="F71" s="1" t="s">
        <v>834</v>
      </c>
      <c r="G71" s="1" t="s">
        <v>563</v>
      </c>
    </row>
    <row r="72" spans="6:7">
      <c r="F72" s="1" t="s">
        <v>214</v>
      </c>
      <c r="G72" s="1" t="s">
        <v>573</v>
      </c>
    </row>
    <row r="73" spans="6:7">
      <c r="F73" s="1" t="s">
        <v>215</v>
      </c>
      <c r="G73" s="1" t="s">
        <v>572</v>
      </c>
    </row>
    <row r="74" spans="6:7">
      <c r="F74" s="1" t="s">
        <v>444</v>
      </c>
      <c r="G74" s="1" t="s">
        <v>625</v>
      </c>
    </row>
    <row r="75" spans="6:7">
      <c r="F75" s="1" t="s">
        <v>445</v>
      </c>
      <c r="G75" s="1" t="s">
        <v>635</v>
      </c>
    </row>
    <row r="76" spans="6:7">
      <c r="F76" s="1" t="s">
        <v>922</v>
      </c>
      <c r="G76" s="1" t="s">
        <v>634</v>
      </c>
    </row>
    <row r="77" spans="6:7">
      <c r="F77" s="1" t="s">
        <v>923</v>
      </c>
      <c r="G77" s="1" t="s">
        <v>636</v>
      </c>
    </row>
    <row r="78" spans="6:7">
      <c r="F78" s="1" t="s">
        <v>924</v>
      </c>
      <c r="G78" s="1" t="s">
        <v>767</v>
      </c>
    </row>
    <row r="79" spans="6:7">
      <c r="F79" s="1" t="s">
        <v>446</v>
      </c>
      <c r="G79" s="1" t="s">
        <v>768</v>
      </c>
    </row>
    <row r="80" spans="6:7">
      <c r="F80" s="1" t="s">
        <v>487</v>
      </c>
      <c r="G80" s="1" t="s">
        <v>766</v>
      </c>
    </row>
    <row r="81" spans="6:7">
      <c r="F81" s="1" t="s">
        <v>207</v>
      </c>
      <c r="G81" s="1" t="s">
        <v>814</v>
      </c>
    </row>
    <row r="82" spans="6:7">
      <c r="F82" s="1" t="s">
        <v>488</v>
      </c>
      <c r="G82" s="1" t="s">
        <v>594</v>
      </c>
    </row>
    <row r="83" spans="6:7">
      <c r="F83" s="1" t="s">
        <v>489</v>
      </c>
      <c r="G83" s="1" t="s">
        <v>595</v>
      </c>
    </row>
    <row r="84" spans="6:7">
      <c r="F84" s="1" t="s">
        <v>490</v>
      </c>
      <c r="G84" s="1" t="s">
        <v>596</v>
      </c>
    </row>
    <row r="85" spans="6:7">
      <c r="F85" s="1" t="s">
        <v>491</v>
      </c>
      <c r="G85" s="1" t="s">
        <v>597</v>
      </c>
    </row>
    <row r="86" spans="6:7">
      <c r="F86" s="1" t="s">
        <v>492</v>
      </c>
      <c r="G86" s="1" t="s">
        <v>599</v>
      </c>
    </row>
    <row r="87" spans="6:7">
      <c r="F87" s="1" t="s">
        <v>493</v>
      </c>
      <c r="G87" s="1" t="s">
        <v>601</v>
      </c>
    </row>
    <row r="88" spans="6:7">
      <c r="F88" s="1" t="s">
        <v>219</v>
      </c>
      <c r="G88" s="1" t="s">
        <v>598</v>
      </c>
    </row>
    <row r="89" spans="6:7">
      <c r="F89" s="1" t="s">
        <v>854</v>
      </c>
      <c r="G89" s="1" t="s">
        <v>600</v>
      </c>
    </row>
    <row r="90" spans="6:7">
      <c r="F90" s="1" t="s">
        <v>494</v>
      </c>
      <c r="G90" s="1" t="s">
        <v>603</v>
      </c>
    </row>
    <row r="91" spans="6:7">
      <c r="F91" s="1" t="s">
        <v>835</v>
      </c>
      <c r="G91" s="1" t="s">
        <v>602</v>
      </c>
    </row>
    <row r="92" spans="6:7">
      <c r="F92" s="1" t="s">
        <v>495</v>
      </c>
      <c r="G92" s="1" t="s">
        <v>216</v>
      </c>
    </row>
    <row r="93" spans="6:7">
      <c r="F93" s="1" t="s">
        <v>740</v>
      </c>
      <c r="G93" s="1" t="s">
        <v>213</v>
      </c>
    </row>
    <row r="94" spans="6:7">
      <c r="G94" s="1" t="s">
        <v>215</v>
      </c>
    </row>
    <row r="95" spans="6:7">
      <c r="G95" s="1" t="s">
        <v>214</v>
      </c>
    </row>
    <row r="96" spans="6:7">
      <c r="G96" s="1" t="s">
        <v>606</v>
      </c>
    </row>
    <row r="97" spans="7:7">
      <c r="G97" s="1" t="s">
        <v>604</v>
      </c>
    </row>
    <row r="98" spans="7:7">
      <c r="G98" s="1" t="s">
        <v>605</v>
      </c>
    </row>
    <row r="99" spans="7:7">
      <c r="G99" s="1" t="s">
        <v>218</v>
      </c>
    </row>
    <row r="100" spans="7:7">
      <c r="G100" s="1" t="s">
        <v>608</v>
      </c>
    </row>
    <row r="101" spans="7:7">
      <c r="G101" s="1" t="s">
        <v>607</v>
      </c>
    </row>
    <row r="102" spans="7:7">
      <c r="G102" s="1" t="s">
        <v>609</v>
      </c>
    </row>
    <row r="103" spans="7:7">
      <c r="G103" s="1" t="s">
        <v>610</v>
      </c>
    </row>
    <row r="104" spans="7:7">
      <c r="G104" s="1" t="s">
        <v>614</v>
      </c>
    </row>
    <row r="105" spans="7:7">
      <c r="G105" s="1" t="s">
        <v>611</v>
      </c>
    </row>
    <row r="106" spans="7:7">
      <c r="G106" s="1" t="s">
        <v>612</v>
      </c>
    </row>
    <row r="107" spans="7:7">
      <c r="G107" s="1" t="s">
        <v>613</v>
      </c>
    </row>
    <row r="108" spans="7:7">
      <c r="G108" s="1" t="s">
        <v>211</v>
      </c>
    </row>
    <row r="109" spans="7:7">
      <c r="G109" s="1" t="s">
        <v>212</v>
      </c>
    </row>
    <row r="110" spans="7:7">
      <c r="G110" s="1" t="s">
        <v>217</v>
      </c>
    </row>
    <row r="111" spans="7:7">
      <c r="G111" s="1" t="s">
        <v>219</v>
      </c>
    </row>
    <row r="112" spans="7:7">
      <c r="G112" s="1" t="s">
        <v>617</v>
      </c>
    </row>
    <row r="113" spans="7:7">
      <c r="G113" s="1" t="s">
        <v>221</v>
      </c>
    </row>
    <row r="114" spans="7:7">
      <c r="G114" s="1" t="s">
        <v>222</v>
      </c>
    </row>
    <row r="115" spans="7:7">
      <c r="G115" s="1" t="s">
        <v>618</v>
      </c>
    </row>
    <row r="116" spans="7:7">
      <c r="G116" s="1" t="s">
        <v>619</v>
      </c>
    </row>
    <row r="117" spans="7:7">
      <c r="G117" s="1" t="s">
        <v>623</v>
      </c>
    </row>
    <row r="118" spans="7:7">
      <c r="G118" s="1" t="s">
        <v>620</v>
      </c>
    </row>
    <row r="119" spans="7:7">
      <c r="G119" s="1" t="s">
        <v>621</v>
      </c>
    </row>
    <row r="120" spans="7:7">
      <c r="G120" s="1" t="s">
        <v>622</v>
      </c>
    </row>
    <row r="121" spans="7:7">
      <c r="G121" s="1" t="s">
        <v>806</v>
      </c>
    </row>
    <row r="122" spans="7:7">
      <c r="G122" s="1" t="s">
        <v>807</v>
      </c>
    </row>
    <row r="123" spans="7:7">
      <c r="G123" s="1" t="s">
        <v>808</v>
      </c>
    </row>
    <row r="124" spans="7:7">
      <c r="G124" s="1" t="s">
        <v>809</v>
      </c>
    </row>
    <row r="125" spans="7:7">
      <c r="G125" s="1" t="s">
        <v>581</v>
      </c>
    </row>
    <row r="126" spans="7:7">
      <c r="G126" s="1" t="s">
        <v>582</v>
      </c>
    </row>
    <row r="127" spans="7:7">
      <c r="G127" s="1" t="s">
        <v>208</v>
      </c>
    </row>
    <row r="128" spans="7:7">
      <c r="G128" s="1" t="s">
        <v>208</v>
      </c>
    </row>
    <row r="129" spans="7:7">
      <c r="G129" s="1" t="s">
        <v>804</v>
      </c>
    </row>
    <row r="130" spans="7:7">
      <c r="G130" s="1" t="s">
        <v>632</v>
      </c>
    </row>
    <row r="131" spans="7:7">
      <c r="G131" s="1" t="s">
        <v>631</v>
      </c>
    </row>
    <row r="132" spans="7:7">
      <c r="G132" s="1" t="s">
        <v>223</v>
      </c>
    </row>
    <row r="133" spans="7:7">
      <c r="G133" s="1" t="s">
        <v>224</v>
      </c>
    </row>
    <row r="134" spans="7:7">
      <c r="G134" s="1" t="s">
        <v>650</v>
      </c>
    </row>
    <row r="135" spans="7:7">
      <c r="G135" s="1" t="s">
        <v>651</v>
      </c>
    </row>
    <row r="136" spans="7:7">
      <c r="G136" s="1" t="s">
        <v>652</v>
      </c>
    </row>
    <row r="137" spans="7:7">
      <c r="G137" s="1" t="s">
        <v>198</v>
      </c>
    </row>
    <row r="138" spans="7:7">
      <c r="G138" s="1" t="s">
        <v>198</v>
      </c>
    </row>
    <row r="139" spans="7:7">
      <c r="G139" s="1" t="s">
        <v>203</v>
      </c>
    </row>
    <row r="140" spans="7:7">
      <c r="G140" s="1" t="s">
        <v>203</v>
      </c>
    </row>
    <row r="141" spans="7:7">
      <c r="G141" s="1" t="s">
        <v>231</v>
      </c>
    </row>
    <row r="142" spans="7:7">
      <c r="G142" s="1" t="s">
        <v>193</v>
      </c>
    </row>
    <row r="143" spans="7:7">
      <c r="G143" s="1" t="s">
        <v>194</v>
      </c>
    </row>
    <row r="144" spans="7:7">
      <c r="G144" s="1" t="s">
        <v>241</v>
      </c>
    </row>
    <row r="145" spans="7:7">
      <c r="G145" s="1" t="s">
        <v>722</v>
      </c>
    </row>
    <row r="146" spans="7:7">
      <c r="G146" s="1" t="s">
        <v>721</v>
      </c>
    </row>
    <row r="147" spans="7:7">
      <c r="G147" s="1" t="s">
        <v>637</v>
      </c>
    </row>
    <row r="148" spans="7:7">
      <c r="G148" s="1" t="s">
        <v>638</v>
      </c>
    </row>
    <row r="149" spans="7:7">
      <c r="G149" s="1" t="s">
        <v>199</v>
      </c>
    </row>
    <row r="150" spans="7:7">
      <c r="G150" s="1" t="s">
        <v>199</v>
      </c>
    </row>
    <row r="151" spans="7:7">
      <c r="G151" s="1" t="s">
        <v>210</v>
      </c>
    </row>
    <row r="152" spans="7:7">
      <c r="G152" s="1" t="s">
        <v>247</v>
      </c>
    </row>
    <row r="153" spans="7:7">
      <c r="G153" s="1" t="s">
        <v>200</v>
      </c>
    </row>
    <row r="154" spans="7:7">
      <c r="G154" s="1" t="s">
        <v>248</v>
      </c>
    </row>
    <row r="155" spans="7:7">
      <c r="G155" s="1" t="s">
        <v>639</v>
      </c>
    </row>
    <row r="156" spans="7:7">
      <c r="G156" s="1" t="s">
        <v>640</v>
      </c>
    </row>
    <row r="157" spans="7:7">
      <c r="G157" s="1" t="s">
        <v>643</v>
      </c>
    </row>
    <row r="158" spans="7:7">
      <c r="G158" s="1" t="s">
        <v>641</v>
      </c>
    </row>
    <row r="159" spans="7:7">
      <c r="G159" s="1" t="s">
        <v>642</v>
      </c>
    </row>
    <row r="160" spans="7:7">
      <c r="G160" s="1" t="s">
        <v>764</v>
      </c>
    </row>
    <row r="161" spans="7:7">
      <c r="G161" s="1" t="s">
        <v>233</v>
      </c>
    </row>
    <row r="162" spans="7:7">
      <c r="G162" s="1" t="s">
        <v>195</v>
      </c>
    </row>
    <row r="163" spans="7:7">
      <c r="G163" s="1" t="s">
        <v>195</v>
      </c>
    </row>
    <row r="164" spans="7:7">
      <c r="G164" s="1" t="s">
        <v>205</v>
      </c>
    </row>
    <row r="165" spans="7:7">
      <c r="G165" s="1" t="s">
        <v>204</v>
      </c>
    </row>
    <row r="166" spans="7:7">
      <c r="G166" s="1" t="s">
        <v>196</v>
      </c>
    </row>
    <row r="167" spans="7:7">
      <c r="G167" s="1" t="s">
        <v>196</v>
      </c>
    </row>
    <row r="168" spans="7:7">
      <c r="G168" s="1" t="s">
        <v>196</v>
      </c>
    </row>
    <row r="169" spans="7:7">
      <c r="G169" s="1" t="s">
        <v>197</v>
      </c>
    </row>
    <row r="170" spans="7:7">
      <c r="G170" s="1" t="s">
        <v>235</v>
      </c>
    </row>
    <row r="171" spans="7:7">
      <c r="G171" s="1" t="s">
        <v>817</v>
      </c>
    </row>
    <row r="172" spans="7:7">
      <c r="G172" s="1" t="s">
        <v>703</v>
      </c>
    </row>
    <row r="173" spans="7:7">
      <c r="G173" s="1" t="s">
        <v>705</v>
      </c>
    </row>
    <row r="174" spans="7:7">
      <c r="G174" s="1" t="s">
        <v>704</v>
      </c>
    </row>
    <row r="175" spans="7:7">
      <c r="G175" s="1" t="s">
        <v>837</v>
      </c>
    </row>
    <row r="176" spans="7:7">
      <c r="G176" s="1" t="s">
        <v>547</v>
      </c>
    </row>
    <row r="177" spans="7:7">
      <c r="G177" s="1" t="s">
        <v>549</v>
      </c>
    </row>
    <row r="178" spans="7:7">
      <c r="G178" s="1" t="s">
        <v>550</v>
      </c>
    </row>
    <row r="179" spans="7:7">
      <c r="G179" s="1" t="s">
        <v>551</v>
      </c>
    </row>
    <row r="180" spans="7:7">
      <c r="G180" s="1" t="s">
        <v>236</v>
      </c>
    </row>
    <row r="181" spans="7:7">
      <c r="G181" s="1" t="s">
        <v>584</v>
      </c>
    </row>
    <row r="182" spans="7:7">
      <c r="G182" s="1" t="s">
        <v>585</v>
      </c>
    </row>
    <row r="183" spans="7:7">
      <c r="G183" s="1" t="s">
        <v>645</v>
      </c>
    </row>
    <row r="184" spans="7:7">
      <c r="G184" s="1" t="s">
        <v>644</v>
      </c>
    </row>
    <row r="185" spans="7:7">
      <c r="G185" s="1" t="s">
        <v>646</v>
      </c>
    </row>
    <row r="186" spans="7:7">
      <c r="G186" s="1" t="s">
        <v>648</v>
      </c>
    </row>
    <row r="187" spans="7:7">
      <c r="G187" s="1" t="s">
        <v>647</v>
      </c>
    </row>
    <row r="188" spans="7:7">
      <c r="G188" s="1" t="s">
        <v>504</v>
      </c>
    </row>
    <row r="189" spans="7:7">
      <c r="G189" s="1" t="s">
        <v>226</v>
      </c>
    </row>
    <row r="190" spans="7:7">
      <c r="G190" s="1" t="s">
        <v>225</v>
      </c>
    </row>
    <row r="191" spans="7:7">
      <c r="G191" s="1" t="s">
        <v>505</v>
      </c>
    </row>
    <row r="192" spans="7:7">
      <c r="G192" s="1" t="s">
        <v>656</v>
      </c>
    </row>
    <row r="193" spans="7:7">
      <c r="G193" s="1" t="s">
        <v>655</v>
      </c>
    </row>
    <row r="194" spans="7:7">
      <c r="G194" s="1" t="s">
        <v>657</v>
      </c>
    </row>
    <row r="195" spans="7:7">
      <c r="G195" s="1" t="s">
        <v>724</v>
      </c>
    </row>
    <row r="196" spans="7:7">
      <c r="G196" s="1" t="s">
        <v>658</v>
      </c>
    </row>
    <row r="197" spans="7:7">
      <c r="G197" s="1" t="s">
        <v>659</v>
      </c>
    </row>
    <row r="198" spans="7:7">
      <c r="G198" s="1" t="s">
        <v>660</v>
      </c>
    </row>
    <row r="199" spans="7:7">
      <c r="G199" s="1" t="s">
        <v>661</v>
      </c>
    </row>
    <row r="200" spans="7:7">
      <c r="G200" s="1" t="s">
        <v>662</v>
      </c>
    </row>
    <row r="201" spans="7:7">
      <c r="G201" s="1" t="s">
        <v>664</v>
      </c>
    </row>
    <row r="202" spans="7:7">
      <c r="G202" s="1" t="s">
        <v>663</v>
      </c>
    </row>
    <row r="203" spans="7:7">
      <c r="G203" s="1" t="s">
        <v>665</v>
      </c>
    </row>
    <row r="204" spans="7:7">
      <c r="G204" s="1" t="s">
        <v>666</v>
      </c>
    </row>
    <row r="205" spans="7:7">
      <c r="G205" s="1" t="s">
        <v>667</v>
      </c>
    </row>
    <row r="206" spans="7:7">
      <c r="G206" s="1" t="s">
        <v>668</v>
      </c>
    </row>
    <row r="207" spans="7:7">
      <c r="G207" s="1" t="s">
        <v>669</v>
      </c>
    </row>
    <row r="208" spans="7:7">
      <c r="G208" s="1" t="s">
        <v>670</v>
      </c>
    </row>
    <row r="209" spans="7:7">
      <c r="G209" s="1" t="s">
        <v>671</v>
      </c>
    </row>
    <row r="210" spans="7:7">
      <c r="G210" s="1" t="s">
        <v>672</v>
      </c>
    </row>
    <row r="211" spans="7:7">
      <c r="G211" s="1" t="s">
        <v>673</v>
      </c>
    </row>
    <row r="212" spans="7:7">
      <c r="G212" s="1" t="s">
        <v>677</v>
      </c>
    </row>
    <row r="213" spans="7:7">
      <c r="G213" s="1" t="s">
        <v>674</v>
      </c>
    </row>
    <row r="214" spans="7:7">
      <c r="G214" s="1" t="s">
        <v>675</v>
      </c>
    </row>
    <row r="215" spans="7:7">
      <c r="G215" s="1" t="s">
        <v>676</v>
      </c>
    </row>
    <row r="216" spans="7:7">
      <c r="G216" s="1" t="s">
        <v>678</v>
      </c>
    </row>
    <row r="217" spans="7:7">
      <c r="G217" s="1" t="s">
        <v>679</v>
      </c>
    </row>
    <row r="218" spans="7:7">
      <c r="G218" s="1" t="s">
        <v>680</v>
      </c>
    </row>
    <row r="219" spans="7:7">
      <c r="G219" s="1" t="s">
        <v>681</v>
      </c>
    </row>
    <row r="220" spans="7:7">
      <c r="G220" s="1" t="s">
        <v>682</v>
      </c>
    </row>
    <row r="221" spans="7:7">
      <c r="G221" s="1" t="s">
        <v>707</v>
      </c>
    </row>
    <row r="222" spans="7:7">
      <c r="G222" s="1" t="s">
        <v>708</v>
      </c>
    </row>
    <row r="223" spans="7:7">
      <c r="G223" s="1" t="s">
        <v>683</v>
      </c>
    </row>
    <row r="224" spans="7:7">
      <c r="G224" s="1" t="s">
        <v>684</v>
      </c>
    </row>
    <row r="225" spans="7:7">
      <c r="G225" s="1" t="s">
        <v>685</v>
      </c>
    </row>
    <row r="226" spans="7:7">
      <c r="G226" s="1" t="s">
        <v>686</v>
      </c>
    </row>
    <row r="227" spans="7:7">
      <c r="G227" s="1" t="s">
        <v>687</v>
      </c>
    </row>
    <row r="228" spans="7:7">
      <c r="G228" s="1" t="s">
        <v>629</v>
      </c>
    </row>
    <row r="229" spans="7:7">
      <c r="G229" s="1" t="s">
        <v>506</v>
      </c>
    </row>
    <row r="230" spans="7:7">
      <c r="G230" s="1" t="s">
        <v>507</v>
      </c>
    </row>
    <row r="231" spans="7:7">
      <c r="G231" s="1" t="s">
        <v>820</v>
      </c>
    </row>
    <row r="232" spans="7:7">
      <c r="G232" s="1" t="s">
        <v>654</v>
      </c>
    </row>
    <row r="233" spans="7:7">
      <c r="G233" s="1" t="s">
        <v>688</v>
      </c>
    </row>
    <row r="234" spans="7:7">
      <c r="G234" s="1" t="s">
        <v>689</v>
      </c>
    </row>
    <row r="235" spans="7:7">
      <c r="G235" s="1" t="s">
        <v>690</v>
      </c>
    </row>
    <row r="236" spans="7:7">
      <c r="G236" s="1" t="s">
        <v>587</v>
      </c>
    </row>
    <row r="237" spans="7:7">
      <c r="G237" s="1" t="s">
        <v>588</v>
      </c>
    </row>
    <row r="238" spans="7:7">
      <c r="G238" s="1" t="s">
        <v>589</v>
      </c>
    </row>
    <row r="239" spans="7:7">
      <c r="G239" s="1" t="s">
        <v>590</v>
      </c>
    </row>
    <row r="240" spans="7:7">
      <c r="G240" s="1" t="s">
        <v>691</v>
      </c>
    </row>
    <row r="241" spans="7:7">
      <c r="G241" s="1" t="s">
        <v>692</v>
      </c>
    </row>
    <row r="242" spans="7:7">
      <c r="G242" s="1" t="s">
        <v>693</v>
      </c>
    </row>
    <row r="243" spans="7:7">
      <c r="G243" s="1" t="s">
        <v>694</v>
      </c>
    </row>
    <row r="244" spans="7:7">
      <c r="G244" s="1" t="s">
        <v>695</v>
      </c>
    </row>
    <row r="245" spans="7:7">
      <c r="G245" s="1" t="s">
        <v>696</v>
      </c>
    </row>
    <row r="246" spans="7:7">
      <c r="G246" s="1" t="s">
        <v>697</v>
      </c>
    </row>
    <row r="247" spans="7:7">
      <c r="G247" s="1" t="s">
        <v>698</v>
      </c>
    </row>
    <row r="248" spans="7:7">
      <c r="G248" s="1" t="s">
        <v>699</v>
      </c>
    </row>
    <row r="249" spans="7:7">
      <c r="G249" s="1" t="s">
        <v>700</v>
      </c>
    </row>
    <row r="250" spans="7:7">
      <c r="G250" s="1" t="s">
        <v>701</v>
      </c>
    </row>
    <row r="251" spans="7:7">
      <c r="G251" s="1" t="s">
        <v>709</v>
      </c>
    </row>
    <row r="252" spans="7:7">
      <c r="G252" s="1" t="s">
        <v>712</v>
      </c>
    </row>
    <row r="253" spans="7:7">
      <c r="G253" s="1" t="s">
        <v>710</v>
      </c>
    </row>
    <row r="254" spans="7:7">
      <c r="G254" s="1" t="s">
        <v>711</v>
      </c>
    </row>
    <row r="255" spans="7:7">
      <c r="G255" s="1" t="s">
        <v>725</v>
      </c>
    </row>
    <row r="256" spans="7:7">
      <c r="G256" s="1" t="s">
        <v>726</v>
      </c>
    </row>
    <row r="257" spans="7:7">
      <c r="G257" s="1" t="s">
        <v>627</v>
      </c>
    </row>
    <row r="258" spans="7:7">
      <c r="G258" s="1" t="s">
        <v>727</v>
      </c>
    </row>
    <row r="259" spans="7:7">
      <c r="G259" s="1" t="s">
        <v>728</v>
      </c>
    </row>
    <row r="260" spans="7:7">
      <c r="G260" s="1" t="s">
        <v>246</v>
      </c>
    </row>
    <row r="261" spans="7:7">
      <c r="G261" s="1" t="s">
        <v>238</v>
      </c>
    </row>
    <row r="262" spans="7:7">
      <c r="G262" s="1" t="s">
        <v>245</v>
      </c>
    </row>
    <row r="263" spans="7:7">
      <c r="G263" s="1" t="s">
        <v>729</v>
      </c>
    </row>
    <row r="264" spans="7:7">
      <c r="G264" s="1" t="s">
        <v>730</v>
      </c>
    </row>
    <row r="265" spans="7:7">
      <c r="G265" s="1" t="s">
        <v>201</v>
      </c>
    </row>
    <row r="266" spans="7:7">
      <c r="G266" s="1" t="s">
        <v>201</v>
      </c>
    </row>
    <row r="267" spans="7:7">
      <c r="G267" s="1" t="s">
        <v>232</v>
      </c>
    </row>
    <row r="268" spans="7:7">
      <c r="G268" s="1" t="s">
        <v>559</v>
      </c>
    </row>
    <row r="269" spans="7:7">
      <c r="G269" s="1" t="s">
        <v>560</v>
      </c>
    </row>
    <row r="270" spans="7:7">
      <c r="G270" s="1" t="s">
        <v>561</v>
      </c>
    </row>
    <row r="271" spans="7:7">
      <c r="G271" s="1" t="s">
        <v>242</v>
      </c>
    </row>
    <row r="272" spans="7:7">
      <c r="G272" s="1" t="s">
        <v>731</v>
      </c>
    </row>
    <row r="273" spans="7:7">
      <c r="G273" s="1" t="s">
        <v>732</v>
      </c>
    </row>
    <row r="274" spans="7:7">
      <c r="G274" s="1" t="s">
        <v>734</v>
      </c>
    </row>
    <row r="275" spans="7:7">
      <c r="G275" s="1" t="s">
        <v>733</v>
      </c>
    </row>
    <row r="276" spans="7:7">
      <c r="G276" s="1" t="s">
        <v>736</v>
      </c>
    </row>
    <row r="277" spans="7:7">
      <c r="G277" s="1" t="s">
        <v>738</v>
      </c>
    </row>
    <row r="278" spans="7:7">
      <c r="G278" s="1" t="s">
        <v>735</v>
      </c>
    </row>
    <row r="279" spans="7:7">
      <c r="G279" s="1" t="s">
        <v>737</v>
      </c>
    </row>
    <row r="280" spans="7:7">
      <c r="G280" s="1" t="s">
        <v>739</v>
      </c>
    </row>
    <row r="281" spans="7:7">
      <c r="G281" s="1" t="s">
        <v>740</v>
      </c>
    </row>
    <row r="282" spans="7:7">
      <c r="G282" s="1" t="s">
        <v>744</v>
      </c>
    </row>
    <row r="283" spans="7:7">
      <c r="G283" s="1" t="s">
        <v>750</v>
      </c>
    </row>
    <row r="284" spans="7:7">
      <c r="G284" s="1" t="s">
        <v>751</v>
      </c>
    </row>
    <row r="285" spans="7:7">
      <c r="G285" s="1" t="s">
        <v>752</v>
      </c>
    </row>
    <row r="286" spans="7:7">
      <c r="G286" s="1" t="s">
        <v>755</v>
      </c>
    </row>
    <row r="287" spans="7:7">
      <c r="G287" s="1" t="s">
        <v>753</v>
      </c>
    </row>
    <row r="288" spans="7:7">
      <c r="G288" s="1" t="s">
        <v>754</v>
      </c>
    </row>
    <row r="289" spans="7:7">
      <c r="G289" s="1" t="s">
        <v>756</v>
      </c>
    </row>
    <row r="290" spans="7:7">
      <c r="G290" s="1" t="s">
        <v>757</v>
      </c>
    </row>
    <row r="291" spans="7:7">
      <c r="G291" s="1" t="s">
        <v>758</v>
      </c>
    </row>
    <row r="292" spans="7:7">
      <c r="G292" s="1" t="s">
        <v>759</v>
      </c>
    </row>
    <row r="293" spans="7:7">
      <c r="G293" s="1" t="s">
        <v>202</v>
      </c>
    </row>
    <row r="294" spans="7:7">
      <c r="G294" s="1" t="s">
        <v>746</v>
      </c>
    </row>
    <row r="295" spans="7:7">
      <c r="G295" s="1" t="s">
        <v>747</v>
      </c>
    </row>
    <row r="296" spans="7:7">
      <c r="G296" s="1" t="s">
        <v>748</v>
      </c>
    </row>
    <row r="297" spans="7:7">
      <c r="G297" s="1" t="s">
        <v>749</v>
      </c>
    </row>
    <row r="298" spans="7:7">
      <c r="G298" s="1" t="s">
        <v>535</v>
      </c>
    </row>
    <row r="299" spans="7:7">
      <c r="G299" s="1" t="s">
        <v>538</v>
      </c>
    </row>
    <row r="300" spans="7:7">
      <c r="G300" s="1" t="s">
        <v>536</v>
      </c>
    </row>
    <row r="301" spans="7:7">
      <c r="G301" s="1" t="s">
        <v>537</v>
      </c>
    </row>
    <row r="302" spans="7:7">
      <c r="G302" s="1" t="s">
        <v>760</v>
      </c>
    </row>
    <row r="303" spans="7:7">
      <c r="G303" s="1" t="s">
        <v>761</v>
      </c>
    </row>
    <row r="304" spans="7:7">
      <c r="G304" s="1" t="s">
        <v>762</v>
      </c>
    </row>
    <row r="305" spans="7:7">
      <c r="G305" s="1" t="s">
        <v>229</v>
      </c>
    </row>
    <row r="306" spans="7:7">
      <c r="G306" s="1" t="s">
        <v>230</v>
      </c>
    </row>
    <row r="307" spans="7:7">
      <c r="G307" s="1" t="s">
        <v>616</v>
      </c>
    </row>
    <row r="308" spans="7:7">
      <c r="G308" s="1" t="s">
        <v>615</v>
      </c>
    </row>
    <row r="309" spans="7:7">
      <c r="G309" s="1" t="s">
        <v>771</v>
      </c>
    </row>
    <row r="310" spans="7:7">
      <c r="G310" s="1" t="s">
        <v>772</v>
      </c>
    </row>
    <row r="311" spans="7:7">
      <c r="G311" s="1" t="s">
        <v>774</v>
      </c>
    </row>
    <row r="312" spans="7:7">
      <c r="G312" s="1" t="s">
        <v>776</v>
      </c>
    </row>
    <row r="313" spans="7:7">
      <c r="G313" s="1" t="s">
        <v>773</v>
      </c>
    </row>
    <row r="314" spans="7:7">
      <c r="G314" s="1" t="s">
        <v>775</v>
      </c>
    </row>
    <row r="315" spans="7:7">
      <c r="G315" s="1" t="s">
        <v>777</v>
      </c>
    </row>
    <row r="316" spans="7:7">
      <c r="G316" s="1" t="s">
        <v>778</v>
      </c>
    </row>
    <row r="317" spans="7:7">
      <c r="G317" s="1" t="s">
        <v>822</v>
      </c>
    </row>
    <row r="318" spans="7:7">
      <c r="G318" s="1" t="s">
        <v>782</v>
      </c>
    </row>
    <row r="319" spans="7:7">
      <c r="G319" s="1" t="s">
        <v>783</v>
      </c>
    </row>
    <row r="320" spans="7:7">
      <c r="G320" s="1" t="s">
        <v>237</v>
      </c>
    </row>
    <row r="321" spans="7:7">
      <c r="G321" s="1" t="s">
        <v>784</v>
      </c>
    </row>
    <row r="322" spans="7:7">
      <c r="G322" s="1" t="s">
        <v>508</v>
      </c>
    </row>
    <row r="323" spans="7:7">
      <c r="G323" s="1" t="s">
        <v>630</v>
      </c>
    </row>
    <row r="324" spans="7:7">
      <c r="G324" s="1" t="s">
        <v>785</v>
      </c>
    </row>
    <row r="325" spans="7:7">
      <c r="G325" s="1" t="s">
        <v>234</v>
      </c>
    </row>
    <row r="326" spans="7:7">
      <c r="G326" s="1" t="s">
        <v>786</v>
      </c>
    </row>
    <row r="327" spans="7:7">
      <c r="G327" s="1" t="s">
        <v>787</v>
      </c>
    </row>
    <row r="328" spans="7:7">
      <c r="G328" s="1" t="s">
        <v>788</v>
      </c>
    </row>
    <row r="329" spans="7:7">
      <c r="G329" s="1" t="s">
        <v>789</v>
      </c>
    </row>
    <row r="330" spans="7:7">
      <c r="G330" s="1" t="s">
        <v>790</v>
      </c>
    </row>
    <row r="331" spans="7:7">
      <c r="G331" s="1" t="s">
        <v>791</v>
      </c>
    </row>
    <row r="332" spans="7:7">
      <c r="G332" s="1" t="s">
        <v>797</v>
      </c>
    </row>
    <row r="333" spans="7:7">
      <c r="G333" s="1" t="s">
        <v>792</v>
      </c>
    </row>
    <row r="334" spans="7:7">
      <c r="G334" s="1" t="s">
        <v>793</v>
      </c>
    </row>
    <row r="335" spans="7:7">
      <c r="G335" s="1" t="s">
        <v>794</v>
      </c>
    </row>
    <row r="336" spans="7:7">
      <c r="G336" s="1" t="s">
        <v>795</v>
      </c>
    </row>
    <row r="337" spans="7:7">
      <c r="G337" s="1" t="s">
        <v>796</v>
      </c>
    </row>
    <row r="338" spans="7:7">
      <c r="G338" s="1" t="s">
        <v>798</v>
      </c>
    </row>
    <row r="339" spans="7:7">
      <c r="G339" s="1" t="s">
        <v>799</v>
      </c>
    </row>
    <row r="340" spans="7:7">
      <c r="G340" s="1" t="s">
        <v>800</v>
      </c>
    </row>
    <row r="341" spans="7:7">
      <c r="G341" s="1" t="s">
        <v>801</v>
      </c>
    </row>
    <row r="342" spans="7:7">
      <c r="G342" s="1" t="s">
        <v>802</v>
      </c>
    </row>
    <row r="343" spans="7:7">
      <c r="G343" s="1" t="s">
        <v>810</v>
      </c>
    </row>
    <row r="344" spans="7:7">
      <c r="G344" s="1" t="s">
        <v>811</v>
      </c>
    </row>
    <row r="345" spans="7:7">
      <c r="G345" s="1" t="s">
        <v>812</v>
      </c>
    </row>
    <row r="346" spans="7:7">
      <c r="G346" s="1" t="s">
        <v>770</v>
      </c>
    </row>
  </sheetData>
  <sheetProtection algorithmName="SHA-512" hashValue="g0b0QgiGrbwyPJnkGZ+s5J7Z4f97oOEE1tbP6mePiQlRErHrd5ED1blmR7otNr8n3pgmYO+o78wgH19BBDOxfQ==" saltValue="ZMW0ujLrIGRTfnKhiex+rw==" spinCount="100000" sheet="1" objects="1" scenarios="1"/>
  <sortState xmlns:xlrd2="http://schemas.microsoft.com/office/spreadsheetml/2017/richdata2" ref="G2:G412">
    <sortCondition ref="G2:G412"/>
  </sortState>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75FB-4BCB-492C-BD27-FE07EF9DC1CF}">
  <dimension ref="A1:B346"/>
  <sheetViews>
    <sheetView topLeftCell="A27" workbookViewId="0">
      <selection activeCell="B24" sqref="B24"/>
    </sheetView>
  </sheetViews>
  <sheetFormatPr defaultColWidth="9.125" defaultRowHeight="14.25"/>
  <cols>
    <col min="1" max="1" width="54" style="169" bestFit="1" customWidth="1"/>
    <col min="2" max="2" width="38.375" style="1" customWidth="1"/>
    <col min="3" max="16384" width="9.125" style="84"/>
  </cols>
  <sheetData>
    <row r="1" spans="1:2" ht="15.75">
      <c r="A1" s="170" t="s">
        <v>447</v>
      </c>
      <c r="B1" s="128" t="s">
        <v>836</v>
      </c>
    </row>
    <row r="2" spans="1:2">
      <c r="A2" s="169" t="s">
        <v>218</v>
      </c>
      <c r="B2" s="1" t="s">
        <v>243</v>
      </c>
    </row>
    <row r="3" spans="1:2">
      <c r="A3" s="169" t="s">
        <v>448</v>
      </c>
      <c r="B3" s="1" t="s">
        <v>521</v>
      </c>
    </row>
    <row r="4" spans="1:2">
      <c r="A4" s="169" t="s">
        <v>449</v>
      </c>
      <c r="B4" s="1" t="s">
        <v>510</v>
      </c>
    </row>
    <row r="5" spans="1:2">
      <c r="A5" s="169" t="s">
        <v>450</v>
      </c>
      <c r="B5" s="1" t="s">
        <v>512</v>
      </c>
    </row>
    <row r="6" spans="1:2">
      <c r="A6" s="169" t="s">
        <v>451</v>
      </c>
      <c r="B6" s="1" t="s">
        <v>509</v>
      </c>
    </row>
    <row r="7" spans="1:2">
      <c r="A7" s="169" t="s">
        <v>452</v>
      </c>
      <c r="B7" s="1" t="s">
        <v>511</v>
      </c>
    </row>
    <row r="8" spans="1:2">
      <c r="A8" s="169" t="s">
        <v>851</v>
      </c>
      <c r="B8" s="1" t="s">
        <v>513</v>
      </c>
    </row>
    <row r="9" spans="1:2">
      <c r="A9" s="169" t="s">
        <v>214</v>
      </c>
      <c r="B9" s="1" t="s">
        <v>515</v>
      </c>
    </row>
    <row r="10" spans="1:2">
      <c r="A10" s="169" t="s">
        <v>213</v>
      </c>
      <c r="B10" s="1" t="s">
        <v>516</v>
      </c>
    </row>
    <row r="11" spans="1:2">
      <c r="A11" s="169" t="s">
        <v>823</v>
      </c>
      <c r="B11" s="1" t="s">
        <v>514</v>
      </c>
    </row>
    <row r="12" spans="1:2">
      <c r="A12" s="169" t="s">
        <v>824</v>
      </c>
      <c r="B12" s="1" t="s">
        <v>517</v>
      </c>
    </row>
    <row r="13" spans="1:2">
      <c r="A13" s="169" t="s">
        <v>219</v>
      </c>
      <c r="B13" s="1" t="s">
        <v>518</v>
      </c>
    </row>
    <row r="14" spans="1:2">
      <c r="A14" s="169" t="s">
        <v>211</v>
      </c>
      <c r="B14" s="1" t="s">
        <v>520</v>
      </c>
    </row>
    <row r="15" spans="1:2">
      <c r="A15" s="169" t="s">
        <v>453</v>
      </c>
      <c r="B15" s="1" t="s">
        <v>519</v>
      </c>
    </row>
    <row r="16" spans="1:2">
      <c r="A16" s="169" t="s">
        <v>454</v>
      </c>
      <c r="B16" s="1" t="s">
        <v>522</v>
      </c>
    </row>
    <row r="17" spans="1:2">
      <c r="A17" s="169" t="s">
        <v>209</v>
      </c>
      <c r="B17" s="1" t="s">
        <v>578</v>
      </c>
    </row>
    <row r="18" spans="1:2">
      <c r="A18" s="169" t="s">
        <v>455</v>
      </c>
      <c r="B18" s="1" t="s">
        <v>579</v>
      </c>
    </row>
    <row r="19" spans="1:2">
      <c r="A19" s="169" t="s">
        <v>456</v>
      </c>
      <c r="B19" s="1" t="s">
        <v>628</v>
      </c>
    </row>
    <row r="20" spans="1:2">
      <c r="A20" s="169" t="s">
        <v>244</v>
      </c>
      <c r="B20" s="1" t="s">
        <v>523</v>
      </c>
    </row>
    <row r="21" spans="1:2">
      <c r="A21" s="169" t="s">
        <v>440</v>
      </c>
      <c r="B21" s="1" t="s">
        <v>524</v>
      </c>
    </row>
    <row r="22" spans="1:2">
      <c r="A22" s="169" t="s">
        <v>825</v>
      </c>
      <c r="B22" s="1" t="s">
        <v>525</v>
      </c>
    </row>
    <row r="23" spans="1:2">
      <c r="A23" s="169" t="s">
        <v>826</v>
      </c>
      <c r="B23" s="1" t="s">
        <v>497</v>
      </c>
    </row>
    <row r="24" spans="1:2">
      <c r="A24" s="169" t="s">
        <v>457</v>
      </c>
      <c r="B24" s="1" t="s">
        <v>526</v>
      </c>
    </row>
    <row r="25" spans="1:2">
      <c r="A25" s="169" t="s">
        <v>458</v>
      </c>
      <c r="B25" s="1" t="s">
        <v>528</v>
      </c>
    </row>
    <row r="26" spans="1:2">
      <c r="A26" s="169" t="s">
        <v>459</v>
      </c>
      <c r="B26" s="1" t="s">
        <v>527</v>
      </c>
    </row>
    <row r="27" spans="1:2">
      <c r="A27" s="169" t="s">
        <v>827</v>
      </c>
      <c r="B27" s="1" t="s">
        <v>529</v>
      </c>
    </row>
    <row r="28" spans="1:2">
      <c r="A28" s="169" t="s">
        <v>828</v>
      </c>
      <c r="B28" s="1" t="s">
        <v>530</v>
      </c>
    </row>
    <row r="29" spans="1:2">
      <c r="A29" s="169" t="s">
        <v>485</v>
      </c>
      <c r="B29" s="1" t="s">
        <v>531</v>
      </c>
    </row>
    <row r="30" spans="1:2">
      <c r="A30" s="169" t="s">
        <v>486</v>
      </c>
      <c r="B30" s="1" t="s">
        <v>532</v>
      </c>
    </row>
    <row r="31" spans="1:2">
      <c r="A31" s="169" t="s">
        <v>441</v>
      </c>
      <c r="B31" s="1" t="s">
        <v>566</v>
      </c>
    </row>
    <row r="32" spans="1:2">
      <c r="A32" s="169" t="s">
        <v>829</v>
      </c>
      <c r="B32" s="1" t="s">
        <v>567</v>
      </c>
    </row>
    <row r="33" spans="1:2">
      <c r="A33" s="169" t="s">
        <v>460</v>
      </c>
      <c r="B33" s="1" t="s">
        <v>533</v>
      </c>
    </row>
    <row r="34" spans="1:2">
      <c r="A34" s="169" t="s">
        <v>461</v>
      </c>
      <c r="B34" s="1" t="s">
        <v>227</v>
      </c>
    </row>
    <row r="35" spans="1:2">
      <c r="A35" s="169" t="s">
        <v>462</v>
      </c>
      <c r="B35" s="1" t="s">
        <v>539</v>
      </c>
    </row>
    <row r="36" spans="1:2">
      <c r="A36" s="169" t="s">
        <v>463</v>
      </c>
      <c r="B36" s="1" t="s">
        <v>540</v>
      </c>
    </row>
    <row r="37" spans="1:2">
      <c r="A37" s="169" t="s">
        <v>464</v>
      </c>
      <c r="B37" s="1" t="s">
        <v>716</v>
      </c>
    </row>
    <row r="38" spans="1:2">
      <c r="A38" s="169" t="s">
        <v>465</v>
      </c>
      <c r="B38" s="1" t="s">
        <v>780</v>
      </c>
    </row>
    <row r="39" spans="1:2">
      <c r="A39" s="169" t="s">
        <v>466</v>
      </c>
      <c r="B39" s="1" t="s">
        <v>781</v>
      </c>
    </row>
    <row r="40" spans="1:2">
      <c r="A40" s="169" t="s">
        <v>467</v>
      </c>
      <c r="B40" s="1" t="s">
        <v>714</v>
      </c>
    </row>
    <row r="41" spans="1:2">
      <c r="A41" s="169" t="s">
        <v>830</v>
      </c>
      <c r="B41" s="1" t="s">
        <v>553</v>
      </c>
    </row>
    <row r="42" spans="1:2">
      <c r="A42" s="169" t="s">
        <v>209</v>
      </c>
      <c r="B42" s="1" t="s">
        <v>552</v>
      </c>
    </row>
    <row r="43" spans="1:2">
      <c r="A43" s="169" t="s">
        <v>455</v>
      </c>
      <c r="B43" s="1" t="s">
        <v>554</v>
      </c>
    </row>
    <row r="44" spans="1:2">
      <c r="A44" s="169" t="s">
        <v>244</v>
      </c>
      <c r="B44" s="1" t="s">
        <v>499</v>
      </c>
    </row>
    <row r="45" spans="1:2">
      <c r="A45" s="169" t="s">
        <v>468</v>
      </c>
      <c r="B45" s="1" t="s">
        <v>500</v>
      </c>
    </row>
    <row r="46" spans="1:2">
      <c r="A46" s="169" t="s">
        <v>469</v>
      </c>
      <c r="B46" s="1" t="s">
        <v>816</v>
      </c>
    </row>
    <row r="47" spans="1:2">
      <c r="A47" s="169" t="s">
        <v>470</v>
      </c>
      <c r="B47" s="1" t="s">
        <v>555</v>
      </c>
    </row>
    <row r="48" spans="1:2">
      <c r="A48" s="169" t="s">
        <v>471</v>
      </c>
      <c r="B48" s="1" t="s">
        <v>557</v>
      </c>
    </row>
    <row r="49" spans="1:2">
      <c r="A49" s="169" t="s">
        <v>206</v>
      </c>
      <c r="B49" s="1" t="s">
        <v>556</v>
      </c>
    </row>
    <row r="50" spans="1:2">
      <c r="A50" s="169" t="s">
        <v>472</v>
      </c>
      <c r="B50" s="1" t="s">
        <v>240</v>
      </c>
    </row>
    <row r="51" spans="1:2">
      <c r="A51" s="169" t="s">
        <v>473</v>
      </c>
      <c r="B51" s="1" t="s">
        <v>239</v>
      </c>
    </row>
    <row r="52" spans="1:2">
      <c r="A52" s="169" t="s">
        <v>831</v>
      </c>
      <c r="B52" s="1" t="s">
        <v>718</v>
      </c>
    </row>
    <row r="53" spans="1:2">
      <c r="A53" s="169" t="s">
        <v>832</v>
      </c>
      <c r="B53" s="1" t="s">
        <v>719</v>
      </c>
    </row>
    <row r="54" spans="1:2">
      <c r="A54" s="169" t="s">
        <v>496</v>
      </c>
      <c r="B54" s="1" t="s">
        <v>564</v>
      </c>
    </row>
    <row r="55" spans="1:2">
      <c r="A55" s="169" t="s">
        <v>833</v>
      </c>
      <c r="B55" s="1" t="s">
        <v>545</v>
      </c>
    </row>
    <row r="56" spans="1:2">
      <c r="A56" s="169" t="s">
        <v>474</v>
      </c>
      <c r="B56" s="1" t="s">
        <v>546</v>
      </c>
    </row>
    <row r="57" spans="1:2">
      <c r="A57" s="169" t="s">
        <v>475</v>
      </c>
      <c r="B57" s="1" t="s">
        <v>569</v>
      </c>
    </row>
    <row r="58" spans="1:2">
      <c r="A58" s="169" t="s">
        <v>476</v>
      </c>
      <c r="B58" s="1" t="s">
        <v>568</v>
      </c>
    </row>
    <row r="59" spans="1:2">
      <c r="A59" s="169" t="s">
        <v>852</v>
      </c>
      <c r="B59" s="1" t="s">
        <v>570</v>
      </c>
    </row>
    <row r="60" spans="1:2">
      <c r="A60" s="169" t="s">
        <v>477</v>
      </c>
      <c r="B60" s="1" t="s">
        <v>501</v>
      </c>
    </row>
    <row r="61" spans="1:2">
      <c r="A61" s="169" t="s">
        <v>478</v>
      </c>
      <c r="B61" s="1" t="s">
        <v>502</v>
      </c>
    </row>
    <row r="62" spans="1:2">
      <c r="A62" s="169" t="s">
        <v>442</v>
      </c>
      <c r="B62" s="1" t="s">
        <v>503</v>
      </c>
    </row>
    <row r="63" spans="1:2">
      <c r="A63" s="169" t="s">
        <v>217</v>
      </c>
      <c r="B63" s="1" t="s">
        <v>576</v>
      </c>
    </row>
    <row r="64" spans="1:2">
      <c r="A64" s="169" t="s">
        <v>443</v>
      </c>
      <c r="B64" s="1" t="s">
        <v>575</v>
      </c>
    </row>
    <row r="65" spans="1:2">
      <c r="A65" s="169" t="s">
        <v>479</v>
      </c>
      <c r="B65" s="1" t="s">
        <v>574</v>
      </c>
    </row>
    <row r="66" spans="1:2">
      <c r="A66" s="169" t="s">
        <v>480</v>
      </c>
      <c r="B66" s="1" t="s">
        <v>228</v>
      </c>
    </row>
    <row r="67" spans="1:2">
      <c r="A67" s="169" t="s">
        <v>481</v>
      </c>
      <c r="B67" s="1" t="s">
        <v>542</v>
      </c>
    </row>
    <row r="68" spans="1:2">
      <c r="A68" s="169" t="s">
        <v>482</v>
      </c>
      <c r="B68" s="1" t="s">
        <v>543</v>
      </c>
    </row>
    <row r="69" spans="1:2">
      <c r="A69" s="169" t="s">
        <v>483</v>
      </c>
      <c r="B69" s="1" t="s">
        <v>591</v>
      </c>
    </row>
    <row r="70" spans="1:2">
      <c r="A70" s="169" t="s">
        <v>484</v>
      </c>
      <c r="B70" s="1" t="s">
        <v>592</v>
      </c>
    </row>
    <row r="71" spans="1:2">
      <c r="A71" s="169" t="s">
        <v>834</v>
      </c>
      <c r="B71" s="1" t="s">
        <v>563</v>
      </c>
    </row>
    <row r="72" spans="1:2">
      <c r="A72" s="169" t="s">
        <v>214</v>
      </c>
      <c r="B72" s="1" t="s">
        <v>573</v>
      </c>
    </row>
    <row r="73" spans="1:2">
      <c r="A73" s="169" t="s">
        <v>215</v>
      </c>
      <c r="B73" s="1" t="s">
        <v>572</v>
      </c>
    </row>
    <row r="74" spans="1:2">
      <c r="A74" s="169" t="s">
        <v>444</v>
      </c>
      <c r="B74" s="1" t="s">
        <v>625</v>
      </c>
    </row>
    <row r="75" spans="1:2">
      <c r="A75" s="169" t="s">
        <v>445</v>
      </c>
      <c r="B75" s="1" t="s">
        <v>635</v>
      </c>
    </row>
    <row r="76" spans="1:2">
      <c r="A76" s="169" t="s">
        <v>922</v>
      </c>
      <c r="B76" s="1" t="s">
        <v>634</v>
      </c>
    </row>
    <row r="77" spans="1:2">
      <c r="A77" s="169" t="s">
        <v>923</v>
      </c>
      <c r="B77" s="1" t="s">
        <v>636</v>
      </c>
    </row>
    <row r="78" spans="1:2">
      <c r="A78" s="169" t="s">
        <v>924</v>
      </c>
      <c r="B78" s="1" t="s">
        <v>767</v>
      </c>
    </row>
    <row r="79" spans="1:2">
      <c r="A79" s="169" t="s">
        <v>446</v>
      </c>
      <c r="B79" s="1" t="s">
        <v>768</v>
      </c>
    </row>
    <row r="80" spans="1:2">
      <c r="A80" s="169" t="s">
        <v>487</v>
      </c>
      <c r="B80" s="1" t="s">
        <v>766</v>
      </c>
    </row>
    <row r="81" spans="1:2">
      <c r="A81" s="169" t="s">
        <v>207</v>
      </c>
      <c r="B81" s="1" t="s">
        <v>814</v>
      </c>
    </row>
    <row r="82" spans="1:2">
      <c r="A82" s="169" t="s">
        <v>488</v>
      </c>
      <c r="B82" s="1" t="s">
        <v>594</v>
      </c>
    </row>
    <row r="83" spans="1:2">
      <c r="A83" s="169" t="s">
        <v>489</v>
      </c>
      <c r="B83" s="1" t="s">
        <v>595</v>
      </c>
    </row>
    <row r="84" spans="1:2">
      <c r="A84" s="169" t="s">
        <v>490</v>
      </c>
      <c r="B84" s="1" t="s">
        <v>596</v>
      </c>
    </row>
    <row r="85" spans="1:2">
      <c r="A85" s="169" t="s">
        <v>491</v>
      </c>
      <c r="B85" s="1" t="s">
        <v>597</v>
      </c>
    </row>
    <row r="86" spans="1:2">
      <c r="A86" s="169" t="s">
        <v>492</v>
      </c>
      <c r="B86" s="1" t="s">
        <v>599</v>
      </c>
    </row>
    <row r="87" spans="1:2">
      <c r="A87" s="169" t="s">
        <v>493</v>
      </c>
      <c r="B87" s="1" t="s">
        <v>601</v>
      </c>
    </row>
    <row r="88" spans="1:2">
      <c r="A88" s="169" t="s">
        <v>219</v>
      </c>
      <c r="B88" s="1" t="s">
        <v>598</v>
      </c>
    </row>
    <row r="89" spans="1:2">
      <c r="A89" s="169" t="s">
        <v>854</v>
      </c>
      <c r="B89" s="1" t="s">
        <v>600</v>
      </c>
    </row>
    <row r="90" spans="1:2">
      <c r="A90" s="169" t="s">
        <v>494</v>
      </c>
      <c r="B90" s="1" t="s">
        <v>603</v>
      </c>
    </row>
    <row r="91" spans="1:2">
      <c r="A91" s="169" t="s">
        <v>835</v>
      </c>
      <c r="B91" s="1" t="s">
        <v>602</v>
      </c>
    </row>
    <row r="92" spans="1:2">
      <c r="A92" s="169" t="s">
        <v>495</v>
      </c>
      <c r="B92" s="1" t="s">
        <v>216</v>
      </c>
    </row>
    <row r="93" spans="1:2">
      <c r="A93" s="169" t="s">
        <v>740</v>
      </c>
      <c r="B93" s="1" t="s">
        <v>213</v>
      </c>
    </row>
    <row r="94" spans="1:2">
      <c r="B94" s="1" t="s">
        <v>215</v>
      </c>
    </row>
    <row r="95" spans="1:2">
      <c r="B95" s="1" t="s">
        <v>214</v>
      </c>
    </row>
    <row r="96" spans="1:2">
      <c r="B96" s="1" t="s">
        <v>606</v>
      </c>
    </row>
    <row r="97" spans="2:2">
      <c r="B97" s="1" t="s">
        <v>604</v>
      </c>
    </row>
    <row r="98" spans="2:2">
      <c r="B98" s="1" t="s">
        <v>605</v>
      </c>
    </row>
    <row r="99" spans="2:2">
      <c r="B99" s="1" t="s">
        <v>218</v>
      </c>
    </row>
    <row r="100" spans="2:2">
      <c r="B100" s="1" t="s">
        <v>608</v>
      </c>
    </row>
    <row r="101" spans="2:2">
      <c r="B101" s="1" t="s">
        <v>607</v>
      </c>
    </row>
    <row r="102" spans="2:2">
      <c r="B102" s="1" t="s">
        <v>609</v>
      </c>
    </row>
    <row r="103" spans="2:2">
      <c r="B103" s="1" t="s">
        <v>610</v>
      </c>
    </row>
    <row r="104" spans="2:2">
      <c r="B104" s="1" t="s">
        <v>614</v>
      </c>
    </row>
    <row r="105" spans="2:2">
      <c r="B105" s="1" t="s">
        <v>611</v>
      </c>
    </row>
    <row r="106" spans="2:2">
      <c r="B106" s="1" t="s">
        <v>612</v>
      </c>
    </row>
    <row r="107" spans="2:2">
      <c r="B107" s="1" t="s">
        <v>613</v>
      </c>
    </row>
    <row r="108" spans="2:2">
      <c r="B108" s="1" t="s">
        <v>211</v>
      </c>
    </row>
    <row r="109" spans="2:2">
      <c r="B109" s="1" t="s">
        <v>212</v>
      </c>
    </row>
    <row r="110" spans="2:2">
      <c r="B110" s="1" t="s">
        <v>217</v>
      </c>
    </row>
    <row r="111" spans="2:2">
      <c r="B111" s="1" t="s">
        <v>219</v>
      </c>
    </row>
    <row r="112" spans="2:2">
      <c r="B112" s="1" t="s">
        <v>617</v>
      </c>
    </row>
    <row r="113" spans="2:2">
      <c r="B113" s="1" t="s">
        <v>221</v>
      </c>
    </row>
    <row r="114" spans="2:2">
      <c r="B114" s="1" t="s">
        <v>222</v>
      </c>
    </row>
    <row r="115" spans="2:2">
      <c r="B115" s="1" t="s">
        <v>618</v>
      </c>
    </row>
    <row r="116" spans="2:2">
      <c r="B116" s="1" t="s">
        <v>619</v>
      </c>
    </row>
    <row r="117" spans="2:2">
      <c r="B117" s="1" t="s">
        <v>623</v>
      </c>
    </row>
    <row r="118" spans="2:2">
      <c r="B118" s="1" t="s">
        <v>620</v>
      </c>
    </row>
    <row r="119" spans="2:2">
      <c r="B119" s="1" t="s">
        <v>621</v>
      </c>
    </row>
    <row r="120" spans="2:2">
      <c r="B120" s="1" t="s">
        <v>622</v>
      </c>
    </row>
    <row r="121" spans="2:2">
      <c r="B121" s="1" t="s">
        <v>806</v>
      </c>
    </row>
    <row r="122" spans="2:2">
      <c r="B122" s="1" t="s">
        <v>807</v>
      </c>
    </row>
    <row r="123" spans="2:2">
      <c r="B123" s="1" t="s">
        <v>808</v>
      </c>
    </row>
    <row r="124" spans="2:2">
      <c r="B124" s="1" t="s">
        <v>809</v>
      </c>
    </row>
    <row r="125" spans="2:2">
      <c r="B125" s="1" t="s">
        <v>581</v>
      </c>
    </row>
    <row r="126" spans="2:2">
      <c r="B126" s="1" t="s">
        <v>582</v>
      </c>
    </row>
    <row r="127" spans="2:2">
      <c r="B127" s="1" t="s">
        <v>208</v>
      </c>
    </row>
    <row r="128" spans="2:2">
      <c r="B128" s="1" t="s">
        <v>208</v>
      </c>
    </row>
    <row r="129" spans="2:2">
      <c r="B129" s="1" t="s">
        <v>804</v>
      </c>
    </row>
    <row r="130" spans="2:2">
      <c r="B130" s="1" t="s">
        <v>632</v>
      </c>
    </row>
    <row r="131" spans="2:2">
      <c r="B131" s="1" t="s">
        <v>631</v>
      </c>
    </row>
    <row r="132" spans="2:2">
      <c r="B132" s="1" t="s">
        <v>223</v>
      </c>
    </row>
    <row r="133" spans="2:2">
      <c r="B133" s="1" t="s">
        <v>224</v>
      </c>
    </row>
    <row r="134" spans="2:2">
      <c r="B134" s="1" t="s">
        <v>650</v>
      </c>
    </row>
    <row r="135" spans="2:2">
      <c r="B135" s="1" t="s">
        <v>651</v>
      </c>
    </row>
    <row r="136" spans="2:2">
      <c r="B136" s="1" t="s">
        <v>652</v>
      </c>
    </row>
    <row r="137" spans="2:2">
      <c r="B137" s="1" t="s">
        <v>198</v>
      </c>
    </row>
    <row r="138" spans="2:2">
      <c r="B138" s="1" t="s">
        <v>198</v>
      </c>
    </row>
    <row r="139" spans="2:2">
      <c r="B139" s="1" t="s">
        <v>203</v>
      </c>
    </row>
    <row r="140" spans="2:2">
      <c r="B140" s="1" t="s">
        <v>203</v>
      </c>
    </row>
    <row r="141" spans="2:2">
      <c r="B141" s="1" t="s">
        <v>231</v>
      </c>
    </row>
    <row r="142" spans="2:2">
      <c r="B142" s="1" t="s">
        <v>193</v>
      </c>
    </row>
    <row r="143" spans="2:2">
      <c r="B143" s="1" t="s">
        <v>194</v>
      </c>
    </row>
    <row r="144" spans="2:2">
      <c r="B144" s="1" t="s">
        <v>241</v>
      </c>
    </row>
    <row r="145" spans="2:2">
      <c r="B145" s="1" t="s">
        <v>722</v>
      </c>
    </row>
    <row r="146" spans="2:2">
      <c r="B146" s="1" t="s">
        <v>721</v>
      </c>
    </row>
    <row r="147" spans="2:2">
      <c r="B147" s="1" t="s">
        <v>637</v>
      </c>
    </row>
    <row r="148" spans="2:2">
      <c r="B148" s="1" t="s">
        <v>638</v>
      </c>
    </row>
    <row r="149" spans="2:2">
      <c r="B149" s="1" t="s">
        <v>199</v>
      </c>
    </row>
    <row r="150" spans="2:2">
      <c r="B150" s="1" t="s">
        <v>199</v>
      </c>
    </row>
    <row r="151" spans="2:2">
      <c r="B151" s="1" t="s">
        <v>210</v>
      </c>
    </row>
    <row r="152" spans="2:2">
      <c r="B152" s="1" t="s">
        <v>247</v>
      </c>
    </row>
    <row r="153" spans="2:2">
      <c r="B153" s="1" t="s">
        <v>200</v>
      </c>
    </row>
    <row r="154" spans="2:2">
      <c r="B154" s="1" t="s">
        <v>248</v>
      </c>
    </row>
    <row r="155" spans="2:2">
      <c r="B155" s="1" t="s">
        <v>639</v>
      </c>
    </row>
    <row r="156" spans="2:2">
      <c r="B156" s="1" t="s">
        <v>640</v>
      </c>
    </row>
    <row r="157" spans="2:2">
      <c r="B157" s="1" t="s">
        <v>643</v>
      </c>
    </row>
    <row r="158" spans="2:2">
      <c r="B158" s="1" t="s">
        <v>641</v>
      </c>
    </row>
    <row r="159" spans="2:2">
      <c r="B159" s="1" t="s">
        <v>642</v>
      </c>
    </row>
    <row r="160" spans="2:2">
      <c r="B160" s="1" t="s">
        <v>764</v>
      </c>
    </row>
    <row r="161" spans="2:2">
      <c r="B161" s="1" t="s">
        <v>233</v>
      </c>
    </row>
    <row r="162" spans="2:2">
      <c r="B162" s="1" t="s">
        <v>195</v>
      </c>
    </row>
    <row r="163" spans="2:2">
      <c r="B163" s="1" t="s">
        <v>195</v>
      </c>
    </row>
    <row r="164" spans="2:2">
      <c r="B164" s="1" t="s">
        <v>205</v>
      </c>
    </row>
    <row r="165" spans="2:2">
      <c r="B165" s="1" t="s">
        <v>204</v>
      </c>
    </row>
    <row r="166" spans="2:2">
      <c r="B166" s="1" t="s">
        <v>196</v>
      </c>
    </row>
    <row r="167" spans="2:2">
      <c r="B167" s="1" t="s">
        <v>196</v>
      </c>
    </row>
    <row r="168" spans="2:2">
      <c r="B168" s="1" t="s">
        <v>196</v>
      </c>
    </row>
    <row r="169" spans="2:2">
      <c r="B169" s="1" t="s">
        <v>197</v>
      </c>
    </row>
    <row r="170" spans="2:2">
      <c r="B170" s="1" t="s">
        <v>235</v>
      </c>
    </row>
    <row r="171" spans="2:2">
      <c r="B171" s="1" t="s">
        <v>817</v>
      </c>
    </row>
    <row r="172" spans="2:2">
      <c r="B172" s="1" t="s">
        <v>703</v>
      </c>
    </row>
    <row r="173" spans="2:2">
      <c r="B173" s="1" t="s">
        <v>705</v>
      </c>
    </row>
    <row r="174" spans="2:2">
      <c r="B174" s="1" t="s">
        <v>704</v>
      </c>
    </row>
    <row r="175" spans="2:2">
      <c r="B175" s="1" t="s">
        <v>837</v>
      </c>
    </row>
    <row r="176" spans="2:2">
      <c r="B176" s="1" t="s">
        <v>547</v>
      </c>
    </row>
    <row r="177" spans="2:2">
      <c r="B177" s="1" t="s">
        <v>549</v>
      </c>
    </row>
    <row r="178" spans="2:2">
      <c r="B178" s="1" t="s">
        <v>550</v>
      </c>
    </row>
    <row r="179" spans="2:2">
      <c r="B179" s="1" t="s">
        <v>551</v>
      </c>
    </row>
    <row r="180" spans="2:2">
      <c r="B180" s="1" t="s">
        <v>236</v>
      </c>
    </row>
    <row r="181" spans="2:2">
      <c r="B181" s="1" t="s">
        <v>584</v>
      </c>
    </row>
    <row r="182" spans="2:2">
      <c r="B182" s="1" t="s">
        <v>585</v>
      </c>
    </row>
    <row r="183" spans="2:2">
      <c r="B183" s="1" t="s">
        <v>645</v>
      </c>
    </row>
    <row r="184" spans="2:2">
      <c r="B184" s="1" t="s">
        <v>644</v>
      </c>
    </row>
    <row r="185" spans="2:2">
      <c r="B185" s="1" t="s">
        <v>646</v>
      </c>
    </row>
    <row r="186" spans="2:2">
      <c r="B186" s="1" t="s">
        <v>648</v>
      </c>
    </row>
    <row r="187" spans="2:2">
      <c r="B187" s="1" t="s">
        <v>647</v>
      </c>
    </row>
    <row r="188" spans="2:2">
      <c r="B188" s="1" t="s">
        <v>504</v>
      </c>
    </row>
    <row r="189" spans="2:2">
      <c r="B189" s="1" t="s">
        <v>226</v>
      </c>
    </row>
    <row r="190" spans="2:2">
      <c r="B190" s="1" t="s">
        <v>225</v>
      </c>
    </row>
    <row r="191" spans="2:2">
      <c r="B191" s="1" t="s">
        <v>505</v>
      </c>
    </row>
    <row r="192" spans="2:2">
      <c r="B192" s="1" t="s">
        <v>656</v>
      </c>
    </row>
    <row r="193" spans="2:2">
      <c r="B193" s="1" t="s">
        <v>655</v>
      </c>
    </row>
    <row r="194" spans="2:2">
      <c r="B194" s="1" t="s">
        <v>657</v>
      </c>
    </row>
    <row r="195" spans="2:2">
      <c r="B195" s="1" t="s">
        <v>724</v>
      </c>
    </row>
    <row r="196" spans="2:2">
      <c r="B196" s="1" t="s">
        <v>658</v>
      </c>
    </row>
    <row r="197" spans="2:2">
      <c r="B197" s="1" t="s">
        <v>659</v>
      </c>
    </row>
    <row r="198" spans="2:2">
      <c r="B198" s="1" t="s">
        <v>660</v>
      </c>
    </row>
    <row r="199" spans="2:2">
      <c r="B199" s="1" t="s">
        <v>661</v>
      </c>
    </row>
    <row r="200" spans="2:2">
      <c r="B200" s="1" t="s">
        <v>662</v>
      </c>
    </row>
    <row r="201" spans="2:2">
      <c r="B201" s="1" t="s">
        <v>664</v>
      </c>
    </row>
    <row r="202" spans="2:2">
      <c r="B202" s="1" t="s">
        <v>663</v>
      </c>
    </row>
    <row r="203" spans="2:2">
      <c r="B203" s="1" t="s">
        <v>665</v>
      </c>
    </row>
    <row r="204" spans="2:2">
      <c r="B204" s="1" t="s">
        <v>666</v>
      </c>
    </row>
    <row r="205" spans="2:2">
      <c r="B205" s="1" t="s">
        <v>667</v>
      </c>
    </row>
    <row r="206" spans="2:2">
      <c r="B206" s="1" t="s">
        <v>668</v>
      </c>
    </row>
    <row r="207" spans="2:2">
      <c r="B207" s="1" t="s">
        <v>669</v>
      </c>
    </row>
    <row r="208" spans="2:2">
      <c r="B208" s="1" t="s">
        <v>670</v>
      </c>
    </row>
    <row r="209" spans="2:2">
      <c r="B209" s="1" t="s">
        <v>671</v>
      </c>
    </row>
    <row r="210" spans="2:2">
      <c r="B210" s="1" t="s">
        <v>672</v>
      </c>
    </row>
    <row r="211" spans="2:2">
      <c r="B211" s="1" t="s">
        <v>673</v>
      </c>
    </row>
    <row r="212" spans="2:2">
      <c r="B212" s="1" t="s">
        <v>677</v>
      </c>
    </row>
    <row r="213" spans="2:2">
      <c r="B213" s="1" t="s">
        <v>674</v>
      </c>
    </row>
    <row r="214" spans="2:2">
      <c r="B214" s="1" t="s">
        <v>675</v>
      </c>
    </row>
    <row r="215" spans="2:2">
      <c r="B215" s="1" t="s">
        <v>676</v>
      </c>
    </row>
    <row r="216" spans="2:2">
      <c r="B216" s="1" t="s">
        <v>678</v>
      </c>
    </row>
    <row r="217" spans="2:2">
      <c r="B217" s="1" t="s">
        <v>679</v>
      </c>
    </row>
    <row r="218" spans="2:2">
      <c r="B218" s="1" t="s">
        <v>680</v>
      </c>
    </row>
    <row r="219" spans="2:2">
      <c r="B219" s="1" t="s">
        <v>681</v>
      </c>
    </row>
    <row r="220" spans="2:2">
      <c r="B220" s="1" t="s">
        <v>682</v>
      </c>
    </row>
    <row r="221" spans="2:2">
      <c r="B221" s="1" t="s">
        <v>707</v>
      </c>
    </row>
    <row r="222" spans="2:2">
      <c r="B222" s="1" t="s">
        <v>708</v>
      </c>
    </row>
    <row r="223" spans="2:2">
      <c r="B223" s="1" t="s">
        <v>683</v>
      </c>
    </row>
    <row r="224" spans="2:2">
      <c r="B224" s="1" t="s">
        <v>684</v>
      </c>
    </row>
    <row r="225" spans="2:2">
      <c r="B225" s="1" t="s">
        <v>685</v>
      </c>
    </row>
    <row r="226" spans="2:2">
      <c r="B226" s="1" t="s">
        <v>686</v>
      </c>
    </row>
    <row r="227" spans="2:2">
      <c r="B227" s="1" t="s">
        <v>687</v>
      </c>
    </row>
    <row r="228" spans="2:2">
      <c r="B228" s="1" t="s">
        <v>629</v>
      </c>
    </row>
    <row r="229" spans="2:2">
      <c r="B229" s="1" t="s">
        <v>506</v>
      </c>
    </row>
    <row r="230" spans="2:2">
      <c r="B230" s="1" t="s">
        <v>507</v>
      </c>
    </row>
    <row r="231" spans="2:2">
      <c r="B231" s="1" t="s">
        <v>820</v>
      </c>
    </row>
    <row r="232" spans="2:2">
      <c r="B232" s="1" t="s">
        <v>654</v>
      </c>
    </row>
    <row r="233" spans="2:2">
      <c r="B233" s="1" t="s">
        <v>688</v>
      </c>
    </row>
    <row r="234" spans="2:2">
      <c r="B234" s="1" t="s">
        <v>689</v>
      </c>
    </row>
    <row r="235" spans="2:2">
      <c r="B235" s="1" t="s">
        <v>690</v>
      </c>
    </row>
    <row r="236" spans="2:2">
      <c r="B236" s="1" t="s">
        <v>587</v>
      </c>
    </row>
    <row r="237" spans="2:2">
      <c r="B237" s="1" t="s">
        <v>588</v>
      </c>
    </row>
    <row r="238" spans="2:2">
      <c r="B238" s="1" t="s">
        <v>589</v>
      </c>
    </row>
    <row r="239" spans="2:2">
      <c r="B239" s="1" t="s">
        <v>590</v>
      </c>
    </row>
    <row r="240" spans="2:2">
      <c r="B240" s="1" t="s">
        <v>691</v>
      </c>
    </row>
    <row r="241" spans="2:2">
      <c r="B241" s="1" t="s">
        <v>692</v>
      </c>
    </row>
    <row r="242" spans="2:2">
      <c r="B242" s="1" t="s">
        <v>693</v>
      </c>
    </row>
    <row r="243" spans="2:2">
      <c r="B243" s="1" t="s">
        <v>694</v>
      </c>
    </row>
    <row r="244" spans="2:2">
      <c r="B244" s="1" t="s">
        <v>695</v>
      </c>
    </row>
    <row r="245" spans="2:2">
      <c r="B245" s="1" t="s">
        <v>696</v>
      </c>
    </row>
    <row r="246" spans="2:2">
      <c r="B246" s="1" t="s">
        <v>697</v>
      </c>
    </row>
    <row r="247" spans="2:2">
      <c r="B247" s="1" t="s">
        <v>698</v>
      </c>
    </row>
    <row r="248" spans="2:2">
      <c r="B248" s="1" t="s">
        <v>699</v>
      </c>
    </row>
    <row r="249" spans="2:2">
      <c r="B249" s="1" t="s">
        <v>700</v>
      </c>
    </row>
    <row r="250" spans="2:2">
      <c r="B250" s="1" t="s">
        <v>701</v>
      </c>
    </row>
    <row r="251" spans="2:2">
      <c r="B251" s="1" t="s">
        <v>709</v>
      </c>
    </row>
    <row r="252" spans="2:2">
      <c r="B252" s="1" t="s">
        <v>712</v>
      </c>
    </row>
    <row r="253" spans="2:2">
      <c r="B253" s="1" t="s">
        <v>710</v>
      </c>
    </row>
    <row r="254" spans="2:2">
      <c r="B254" s="1" t="s">
        <v>711</v>
      </c>
    </row>
    <row r="255" spans="2:2">
      <c r="B255" s="1" t="s">
        <v>725</v>
      </c>
    </row>
    <row r="256" spans="2:2">
      <c r="B256" s="1" t="s">
        <v>726</v>
      </c>
    </row>
    <row r="257" spans="2:2">
      <c r="B257" s="1" t="s">
        <v>627</v>
      </c>
    </row>
    <row r="258" spans="2:2">
      <c r="B258" s="1" t="s">
        <v>727</v>
      </c>
    </row>
    <row r="259" spans="2:2">
      <c r="B259" s="1" t="s">
        <v>728</v>
      </c>
    </row>
    <row r="260" spans="2:2">
      <c r="B260" s="1" t="s">
        <v>246</v>
      </c>
    </row>
    <row r="261" spans="2:2">
      <c r="B261" s="1" t="s">
        <v>238</v>
      </c>
    </row>
    <row r="262" spans="2:2">
      <c r="B262" s="1" t="s">
        <v>245</v>
      </c>
    </row>
    <row r="263" spans="2:2">
      <c r="B263" s="1" t="s">
        <v>729</v>
      </c>
    </row>
    <row r="264" spans="2:2">
      <c r="B264" s="1" t="s">
        <v>730</v>
      </c>
    </row>
    <row r="265" spans="2:2">
      <c r="B265" s="1" t="s">
        <v>201</v>
      </c>
    </row>
    <row r="266" spans="2:2">
      <c r="B266" s="1" t="s">
        <v>201</v>
      </c>
    </row>
    <row r="267" spans="2:2">
      <c r="B267" s="1" t="s">
        <v>232</v>
      </c>
    </row>
    <row r="268" spans="2:2">
      <c r="B268" s="1" t="s">
        <v>559</v>
      </c>
    </row>
    <row r="269" spans="2:2">
      <c r="B269" s="1" t="s">
        <v>560</v>
      </c>
    </row>
    <row r="270" spans="2:2">
      <c r="B270" s="1" t="s">
        <v>561</v>
      </c>
    </row>
    <row r="271" spans="2:2">
      <c r="B271" s="1" t="s">
        <v>242</v>
      </c>
    </row>
    <row r="272" spans="2:2">
      <c r="B272" s="1" t="s">
        <v>731</v>
      </c>
    </row>
    <row r="273" spans="2:2">
      <c r="B273" s="1" t="s">
        <v>732</v>
      </c>
    </row>
    <row r="274" spans="2:2">
      <c r="B274" s="1" t="s">
        <v>734</v>
      </c>
    </row>
    <row r="275" spans="2:2">
      <c r="B275" s="1" t="s">
        <v>733</v>
      </c>
    </row>
    <row r="276" spans="2:2">
      <c r="B276" s="1" t="s">
        <v>736</v>
      </c>
    </row>
    <row r="277" spans="2:2">
      <c r="B277" s="1" t="s">
        <v>738</v>
      </c>
    </row>
    <row r="278" spans="2:2">
      <c r="B278" s="1" t="s">
        <v>735</v>
      </c>
    </row>
    <row r="279" spans="2:2">
      <c r="B279" s="1" t="s">
        <v>737</v>
      </c>
    </row>
    <row r="280" spans="2:2">
      <c r="B280" s="1" t="s">
        <v>739</v>
      </c>
    </row>
    <row r="281" spans="2:2">
      <c r="B281" s="1" t="s">
        <v>740</v>
      </c>
    </row>
    <row r="282" spans="2:2">
      <c r="B282" s="1" t="s">
        <v>744</v>
      </c>
    </row>
    <row r="283" spans="2:2">
      <c r="B283" s="1" t="s">
        <v>750</v>
      </c>
    </row>
    <row r="284" spans="2:2">
      <c r="B284" s="1" t="s">
        <v>751</v>
      </c>
    </row>
    <row r="285" spans="2:2">
      <c r="B285" s="1" t="s">
        <v>752</v>
      </c>
    </row>
    <row r="286" spans="2:2">
      <c r="B286" s="1" t="s">
        <v>755</v>
      </c>
    </row>
    <row r="287" spans="2:2">
      <c r="B287" s="1" t="s">
        <v>753</v>
      </c>
    </row>
    <row r="288" spans="2:2">
      <c r="B288" s="1" t="s">
        <v>754</v>
      </c>
    </row>
    <row r="289" spans="2:2">
      <c r="B289" s="1" t="s">
        <v>756</v>
      </c>
    </row>
    <row r="290" spans="2:2">
      <c r="B290" s="1" t="s">
        <v>757</v>
      </c>
    </row>
    <row r="291" spans="2:2">
      <c r="B291" s="1" t="s">
        <v>758</v>
      </c>
    </row>
    <row r="292" spans="2:2">
      <c r="B292" s="1" t="s">
        <v>759</v>
      </c>
    </row>
    <row r="293" spans="2:2">
      <c r="B293" s="1" t="s">
        <v>202</v>
      </c>
    </row>
    <row r="294" spans="2:2">
      <c r="B294" s="1" t="s">
        <v>746</v>
      </c>
    </row>
    <row r="295" spans="2:2">
      <c r="B295" s="1" t="s">
        <v>747</v>
      </c>
    </row>
    <row r="296" spans="2:2">
      <c r="B296" s="1" t="s">
        <v>748</v>
      </c>
    </row>
    <row r="297" spans="2:2">
      <c r="B297" s="1" t="s">
        <v>749</v>
      </c>
    </row>
    <row r="298" spans="2:2">
      <c r="B298" s="1" t="s">
        <v>535</v>
      </c>
    </row>
    <row r="299" spans="2:2">
      <c r="B299" s="1" t="s">
        <v>538</v>
      </c>
    </row>
    <row r="300" spans="2:2">
      <c r="B300" s="1" t="s">
        <v>536</v>
      </c>
    </row>
    <row r="301" spans="2:2">
      <c r="B301" s="1" t="s">
        <v>537</v>
      </c>
    </row>
    <row r="302" spans="2:2">
      <c r="B302" s="1" t="s">
        <v>760</v>
      </c>
    </row>
    <row r="303" spans="2:2">
      <c r="B303" s="1" t="s">
        <v>761</v>
      </c>
    </row>
    <row r="304" spans="2:2">
      <c r="B304" s="1" t="s">
        <v>762</v>
      </c>
    </row>
    <row r="305" spans="2:2">
      <c r="B305" s="1" t="s">
        <v>229</v>
      </c>
    </row>
    <row r="306" spans="2:2">
      <c r="B306" s="1" t="s">
        <v>230</v>
      </c>
    </row>
    <row r="307" spans="2:2">
      <c r="B307" s="1" t="s">
        <v>616</v>
      </c>
    </row>
    <row r="308" spans="2:2">
      <c r="B308" s="1" t="s">
        <v>615</v>
      </c>
    </row>
    <row r="309" spans="2:2">
      <c r="B309" s="1" t="s">
        <v>771</v>
      </c>
    </row>
    <row r="310" spans="2:2">
      <c r="B310" s="1" t="s">
        <v>772</v>
      </c>
    </row>
    <row r="311" spans="2:2">
      <c r="B311" s="1" t="s">
        <v>774</v>
      </c>
    </row>
    <row r="312" spans="2:2">
      <c r="B312" s="1" t="s">
        <v>776</v>
      </c>
    </row>
    <row r="313" spans="2:2">
      <c r="B313" s="1" t="s">
        <v>773</v>
      </c>
    </row>
    <row r="314" spans="2:2">
      <c r="B314" s="1" t="s">
        <v>775</v>
      </c>
    </row>
    <row r="315" spans="2:2">
      <c r="B315" s="1" t="s">
        <v>777</v>
      </c>
    </row>
    <row r="316" spans="2:2">
      <c r="B316" s="1" t="s">
        <v>778</v>
      </c>
    </row>
    <row r="317" spans="2:2">
      <c r="B317" s="1" t="s">
        <v>822</v>
      </c>
    </row>
    <row r="318" spans="2:2">
      <c r="B318" s="1" t="s">
        <v>782</v>
      </c>
    </row>
    <row r="319" spans="2:2">
      <c r="B319" s="1" t="s">
        <v>783</v>
      </c>
    </row>
    <row r="320" spans="2:2">
      <c r="B320" s="1" t="s">
        <v>237</v>
      </c>
    </row>
    <row r="321" spans="2:2">
      <c r="B321" s="1" t="s">
        <v>784</v>
      </c>
    </row>
    <row r="322" spans="2:2">
      <c r="B322" s="1" t="s">
        <v>508</v>
      </c>
    </row>
    <row r="323" spans="2:2">
      <c r="B323" s="1" t="s">
        <v>630</v>
      </c>
    </row>
    <row r="324" spans="2:2">
      <c r="B324" s="1" t="s">
        <v>785</v>
      </c>
    </row>
    <row r="325" spans="2:2">
      <c r="B325" s="1" t="s">
        <v>234</v>
      </c>
    </row>
    <row r="326" spans="2:2">
      <c r="B326" s="1" t="s">
        <v>786</v>
      </c>
    </row>
    <row r="327" spans="2:2">
      <c r="B327" s="1" t="s">
        <v>787</v>
      </c>
    </row>
    <row r="328" spans="2:2">
      <c r="B328" s="1" t="s">
        <v>788</v>
      </c>
    </row>
    <row r="329" spans="2:2">
      <c r="B329" s="1" t="s">
        <v>789</v>
      </c>
    </row>
    <row r="330" spans="2:2">
      <c r="B330" s="1" t="s">
        <v>790</v>
      </c>
    </row>
    <row r="331" spans="2:2">
      <c r="B331" s="1" t="s">
        <v>791</v>
      </c>
    </row>
    <row r="332" spans="2:2">
      <c r="B332" s="1" t="s">
        <v>797</v>
      </c>
    </row>
    <row r="333" spans="2:2">
      <c r="B333" s="1" t="s">
        <v>792</v>
      </c>
    </row>
    <row r="334" spans="2:2">
      <c r="B334" s="1" t="s">
        <v>793</v>
      </c>
    </row>
    <row r="335" spans="2:2">
      <c r="B335" s="1" t="s">
        <v>794</v>
      </c>
    </row>
    <row r="336" spans="2:2">
      <c r="B336" s="1" t="s">
        <v>795</v>
      </c>
    </row>
    <row r="337" spans="2:2">
      <c r="B337" s="1" t="s">
        <v>796</v>
      </c>
    </row>
    <row r="338" spans="2:2">
      <c r="B338" s="1" t="s">
        <v>798</v>
      </c>
    </row>
    <row r="339" spans="2:2">
      <c r="B339" s="1" t="s">
        <v>799</v>
      </c>
    </row>
    <row r="340" spans="2:2">
      <c r="B340" s="1" t="s">
        <v>800</v>
      </c>
    </row>
    <row r="341" spans="2:2">
      <c r="B341" s="1" t="s">
        <v>801</v>
      </c>
    </row>
    <row r="342" spans="2:2">
      <c r="B342" s="1" t="s">
        <v>802</v>
      </c>
    </row>
    <row r="343" spans="2:2">
      <c r="B343" s="1" t="s">
        <v>810</v>
      </c>
    </row>
    <row r="344" spans="2:2">
      <c r="B344" s="1" t="s">
        <v>811</v>
      </c>
    </row>
    <row r="345" spans="2:2">
      <c r="B345" s="1" t="s">
        <v>812</v>
      </c>
    </row>
    <row r="346" spans="2:2">
      <c r="B346" s="1" t="s">
        <v>770</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E K U W a x K a 8 q k A A A A 9 g A A A B I A H A B D b 2 5 m a W c v U G F j a 2 F n Z S 5 4 b W w g o h g A K K A U A A A A A A A A A A A A A A A A A A A A A A A A A A A A h Y 9 N D o I w F I S v Q r q n P 7 A h 5 F E X b i U x I R q 3 D V R o h I e h x X I 3 F x 7 J K 4 h R 1 J 3 L m f k m m b l f b 7 C a u j a 4 6 M G a H j M i K C e B x r K v D N Y Z G d 0 x T M h K w l a V J 1 X r Y I b R p p M 1 G W m c O 6 e M e e + p j 2 k / 1 C z i X L B D v i n K R n c q N G i d w l K T T 6 v 6 3 y I S 9 q 8 x M q I i T q h I O O X A F h N y g 1 8 g m v c + 0 x 8 T 1 m P r x k F L j e G u A L Z I Y O 8 P 8 g F Q S w M E F A A C A A g A Z E K U 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R C l F k o i k e 4 D g A A A B E A A A A T A B w A R m 9 y b X V s Y X M v U 2 V j d G l v b j E u b S C i G A A o o B Q A A A A A A A A A A A A A A A A A A A A A A A A A A A A r T k 0 u y c z P U w i G 0 I b W A F B L A Q I t A B Q A A g A I A G R C l F m s S m v K p A A A A P Y A A A A S A A A A A A A A A A A A A A A A A A A A A A B D b 2 5 m a W c v U G F j a 2 F n Z S 5 4 b W x Q S w E C L Q A U A A I A C A B k Q p R Z D 8 r p q 6 Q A A A D p A A A A E w A A A A A A A A A A A A A A A A D w A A A A W 0 N v b n R l b n R f V H l w Z X N d L n h t b F B L A Q I t A B Q A A g A I A G R C l F k 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W f I w l p 9 M I S I R X N r 8 M + 2 T z A A A A A A I A A A A A A A N m A A D A A A A A E A A A A G I 9 F 1 / M w a y d m N b + r 1 Y B U e Y A A A A A B I A A A K A A A A A Q A A A A x V T f g O v k e Q b C v e T + u K u W X F A A A A A T m W 0 I W o p C E 2 s z S w t z y + d e P A M 4 I p B E d R 6 k k T Y 4 U 8 Q w 7 h A 5 y B B C z f T B m W z / 1 a b l t R l o O h 8 1 K u / y g 9 L s j W I D t S j e o F 1 v j O u d K i 6 r E L h C h V Q U p x Q A A A D / A a o D h k y E o 1 4 D I J f P A r c J k z K p B w = = < / D a t a M a s h u p > 
</file>

<file path=customXml/itemProps1.xml><?xml version="1.0" encoding="utf-8"?>
<ds:datastoreItem xmlns:ds="http://schemas.openxmlformats.org/officeDocument/2006/customXml" ds:itemID="{F1F70E6E-59AB-4A4E-85DD-D365B21B29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vt:lpstr>
      <vt:lpstr>GUIDELINES</vt:lpstr>
      <vt:lpstr>User Inputs</vt:lpstr>
      <vt:lpstr>User Outputs</vt:lpstr>
      <vt:lpstr>BG Inputs</vt:lpstr>
      <vt:lpstr>Ration Info</vt:lpstr>
      <vt:lpstr>Ingredient Key</vt:lpstr>
      <vt:lpstr>BG Ingredients</vt:lpstr>
      <vt:lpstr>Ingredient List</vt:lpstr>
      <vt:lpstr>Enteric CH4</vt:lpstr>
      <vt:lpstr>N20</vt:lpstr>
      <vt:lpstr>Manure Methane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McAtee</dc:creator>
  <cp:lastModifiedBy>Ashley Thackrah</cp:lastModifiedBy>
  <dcterms:created xsi:type="dcterms:W3CDTF">2024-12-16T18:05:48Z</dcterms:created>
  <dcterms:modified xsi:type="dcterms:W3CDTF">2026-07-02T19:27:17Z</dcterms:modified>
</cp:coreProperties>
</file>