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5195" windowHeight="8910" activeTab="0"/>
  </bookViews>
  <sheets>
    <sheet name="RO vs. sell at weaning" sheetId="1" r:id="rId1"/>
  </sheets>
  <definedNames>
    <definedName name="_xlnm.Print_Area" localSheetId="0">'RO vs. sell at weaning'!$O$114:$S$154</definedName>
  </definedNames>
  <calcPr fullCalcOnLoad="1"/>
</workbook>
</file>

<file path=xl/comments1.xml><?xml version="1.0" encoding="utf-8"?>
<comments xmlns="http://schemas.openxmlformats.org/spreadsheetml/2006/main">
  <authors>
    <author>Bob L. Larson, DVM, PhD, ACT</author>
  </authors>
  <commentList>
    <comment ref="S25" authorId="0">
      <text>
        <r>
          <rPr>
            <b/>
            <sz val="8"/>
            <color indexed="12"/>
            <rFont val="Tahoma"/>
            <family val="2"/>
          </rPr>
          <t>Assumed equal to 1/4 
mortality rate</t>
        </r>
      </text>
    </comment>
    <comment ref="S137" authorId="0">
      <text>
        <r>
          <rPr>
            <b/>
            <sz val="8"/>
            <color indexed="12"/>
            <rFont val="Tahoma"/>
            <family val="2"/>
          </rPr>
          <t>Assumed equal to 1/4 mortality rate</t>
        </r>
      </text>
    </comment>
  </commentList>
</comments>
</file>

<file path=xl/sharedStrings.xml><?xml version="1.0" encoding="utf-8"?>
<sst xmlns="http://schemas.openxmlformats.org/spreadsheetml/2006/main" count="168" uniqueCount="111">
  <si>
    <t>Price paid per pound of feed</t>
  </si>
  <si>
    <t>Days Owned</t>
  </si>
  <si>
    <t>Morbidity rate</t>
  </si>
  <si>
    <t>Mortality rate</t>
  </si>
  <si>
    <t>Pasture rent / yardage per head</t>
  </si>
  <si>
    <t>Processing product cost per head</t>
  </si>
  <si>
    <t>Return to labor and management</t>
  </si>
  <si>
    <t>Chage 50% interest rate on feed, yardage, cost of treatment, labor, and cost of re-treatment</t>
  </si>
  <si>
    <t>Price received at sale</t>
  </si>
  <si>
    <t>Sale weight in pounds (w/o shrink)</t>
  </si>
  <si>
    <t>Percent shrink</t>
  </si>
  <si>
    <t>Interst rate (%)</t>
  </si>
  <si>
    <t>Total pounds of feed consumed (CALCULATED - Deads in)</t>
  </si>
  <si>
    <t>Total pounds of feed consumed (CALCULATED - Deads out)</t>
  </si>
  <si>
    <t>Shrunk sale weight (CALCULATED)</t>
  </si>
  <si>
    <t>Cost of interest (CALCULATED)</t>
  </si>
  <si>
    <t>Costs</t>
  </si>
  <si>
    <t>Reciepts</t>
  </si>
  <si>
    <t>Sales or commission fees</t>
  </si>
  <si>
    <t>Cost of Gain (CALCULATED: $ / lbs. gain)</t>
  </si>
  <si>
    <t>Cost of treatment /head /treatment</t>
  </si>
  <si>
    <t>Cost of re-treatment /head /re-treatment</t>
  </si>
  <si>
    <t>Re-pull rate (# pulled 2 or more times/# initial pulls)</t>
  </si>
  <si>
    <t>Labor costs per head (non-owner labor)</t>
  </si>
  <si>
    <t>Calculate for Return to labor and managment</t>
  </si>
  <si>
    <t>Calculate for Price Received at Sale (Break Even)</t>
  </si>
  <si>
    <t>Please Answer All of the Following Questions (Per Head Basis)</t>
  </si>
  <si>
    <t>Morbidity Rate (%)</t>
  </si>
  <si>
    <t>Cost of treatment (entire cost of multiple-day treatment)</t>
  </si>
  <si>
    <t>Mortality rate (%)</t>
  </si>
  <si>
    <t>Price received at sale ($/Lbs.)</t>
  </si>
  <si>
    <t>Unshrunk sale weight (Lbs.)</t>
  </si>
  <si>
    <t>Percent shrink (%)</t>
  </si>
  <si>
    <t>Given the Above Variables</t>
  </si>
  <si>
    <t>Cost of interest</t>
  </si>
  <si>
    <t>Sales or commission fees ($)</t>
  </si>
  <si>
    <t>Amount of feed fed daily</t>
  </si>
  <si>
    <t>Cost of Gain (Deads In)</t>
  </si>
  <si>
    <t>Pounds of feed fed daily</t>
  </si>
  <si>
    <t>Feed Efficiency (Deads Out)</t>
  </si>
  <si>
    <t>Feed Efficiency (Deads In)</t>
  </si>
  <si>
    <t>Feed Efficiency (Shrunk sale wt. - Deads Out)</t>
  </si>
  <si>
    <t>Feed Efficiency (Shrunk sale wt. - Deads In)</t>
  </si>
  <si>
    <t>Income if sold at weaning</t>
  </si>
  <si>
    <t>To calculate "Return to Ownership and Management"</t>
  </si>
  <si>
    <t>Weaning weight (Lbs.)</t>
  </si>
  <si>
    <t>The Following Questions Relate to Retained Ownership Phase</t>
  </si>
  <si>
    <t>Assumed price recieved if sold at weaning ($)</t>
  </si>
  <si>
    <t>Assumed price received if sold at weaning ($)</t>
  </si>
  <si>
    <t>Sales fees if sold at weaning</t>
  </si>
  <si>
    <t>Sale fees if sold at weaning</t>
  </si>
  <si>
    <t>Shrunk weight if sold at weaning</t>
  </si>
  <si>
    <t>Retained Ownership vs. Sell at Weaning</t>
  </si>
  <si>
    <t>Shrunk sale weight if sold at weaning</t>
  </si>
  <si>
    <t>Shrunk sale weight after retained ownership phase</t>
  </si>
  <si>
    <t>Weaning weight</t>
  </si>
  <si>
    <t>Assumed price received if sold at weaning</t>
  </si>
  <si>
    <t xml:space="preserve">Weaning Weight </t>
  </si>
  <si>
    <t>shrunk sale weight if sold at weaning</t>
  </si>
  <si>
    <t>Return to Ownership and Management After Retained Ownership</t>
  </si>
  <si>
    <t>Return to ownership and management ($)</t>
  </si>
  <si>
    <t>Return to ownership and management</t>
  </si>
  <si>
    <r>
      <t xml:space="preserve">Decreased return for chronics </t>
    </r>
    <r>
      <rPr>
        <sz val="10"/>
        <rFont val="Arial"/>
        <family val="2"/>
      </rPr>
      <t>(compared to pen average)</t>
    </r>
  </si>
  <si>
    <t>Chronic rate</t>
  </si>
  <si>
    <t>Return to labor and management (without chronics)</t>
  </si>
  <si>
    <t>Return to labor and management (with chronics)</t>
  </si>
  <si>
    <t>Decreased income for chronics</t>
  </si>
  <si>
    <t>Decreased income for chronics compared to pen avg</t>
  </si>
  <si>
    <t>Average Daily Gain (CALCULATED - Sale (Shrunk) Weights, Deads in; lbs per day)</t>
  </si>
  <si>
    <t>Average Daily Gain (CALCULATED - Sale (Shrunk) Weights, Deads out; lbs. per day)</t>
  </si>
  <si>
    <t>Bob L. Larson, DVM, PhD</t>
  </si>
  <si>
    <t>The purpose of this program is to estimate potential returns for retaining ownership past weaning. What do you want to determine?</t>
  </si>
  <si>
    <t>Hired labor cost per head ($)</t>
  </si>
  <si>
    <t>Annual interest rate (i.e. 10)</t>
  </si>
  <si>
    <t>Price paid per pound of diet as fed ($)</t>
  </si>
  <si>
    <t>Pounds of diet fed daily, as fed</t>
  </si>
  <si>
    <t>Re-pull rate (% of original pulls)</t>
  </si>
  <si>
    <t>Sale Price to Attain Given Return</t>
  </si>
  <si>
    <t>Hired Labor cost per head ($)</t>
  </si>
  <si>
    <t>Annual interest rate (i.e.10)</t>
  </si>
  <si>
    <t>Price paid per pound of diet, as ($)</t>
  </si>
  <si>
    <r>
      <t>Cost for processing products (</t>
    </r>
    <r>
      <rPr>
        <sz val="10"/>
        <rFont val="Arial"/>
        <family val="2"/>
      </rPr>
      <t>$ for vaccines, implant, dewormers, tags, etc. that would only be incurred with retained ownership</t>
    </r>
    <r>
      <rPr>
        <sz val="12"/>
        <rFont val="Arial"/>
        <family val="2"/>
      </rPr>
      <t>)</t>
    </r>
  </si>
  <si>
    <t>Re-pull rate  (% of orignial pulls)</t>
  </si>
  <si>
    <t>Average Daily Gain (CALCULATED - Pay Weights, Deads in; lbs per day)</t>
  </si>
  <si>
    <t>Average Daily Gain (CALCULATED - Pay Weights, Deads out; lbs. per day)</t>
  </si>
  <si>
    <t>Pounds of live sale weight (deads included)</t>
  </si>
  <si>
    <r>
      <t>Cost for processing products (</t>
    </r>
    <r>
      <rPr>
        <sz val="10"/>
        <rFont val="Arial"/>
        <family val="2"/>
      </rPr>
      <t>$ for vaccines, implants, dewormers, tags, etc. that would only be incurred with retained ownership</t>
    </r>
    <r>
      <rPr>
        <sz val="12"/>
        <rFont val="Arial"/>
        <family val="2"/>
      </rPr>
      <t>)</t>
    </r>
  </si>
  <si>
    <t>Total Pounds of Feed, as fed</t>
  </si>
  <si>
    <t>Shrunk sale weight</t>
  </si>
  <si>
    <t>Days owned past weaning</t>
  </si>
  <si>
    <t>Trucking fee if sold at weaning</t>
  </si>
  <si>
    <t>Trucking fee</t>
  </si>
  <si>
    <t>Trucking fee if sold after retained ownership</t>
  </si>
  <si>
    <t>Sale fees</t>
  </si>
  <si>
    <t>Cost of re-pull treatment ($)</t>
  </si>
  <si>
    <t>Charge 100% interest on price paid, arrival trucking, &amp; processing cost</t>
  </si>
  <si>
    <r>
      <t xml:space="preserve">Feed Efficiency </t>
    </r>
    <r>
      <rPr>
        <sz val="10"/>
        <rFont val="Arial"/>
        <family val="2"/>
      </rPr>
      <t>(Lbs. of feed / 1 Lbs. of gain - Deads Accounted For)</t>
    </r>
  </si>
  <si>
    <r>
      <t xml:space="preserve">Cost of Gain </t>
    </r>
    <r>
      <rPr>
        <sz val="10"/>
        <rFont val="Arial"/>
        <family val="2"/>
      </rPr>
      <t>(w/o Return to Mgnt. - Deads Accounted For)</t>
    </r>
  </si>
  <si>
    <r>
      <t xml:space="preserve">Average Daily Gain </t>
    </r>
    <r>
      <rPr>
        <sz val="10"/>
        <rFont val="Arial"/>
        <family val="2"/>
      </rPr>
      <t>(Pay Weight; Deads Accounted For)</t>
    </r>
  </si>
  <si>
    <r>
      <t xml:space="preserve">Average Daily Gain </t>
    </r>
    <r>
      <rPr>
        <sz val="10"/>
        <rFont val="Arial"/>
        <family val="2"/>
      </rPr>
      <t>( Pay Weight; Deads Accounted For)</t>
    </r>
  </si>
  <si>
    <t>Yardage / Rent per day ($)</t>
  </si>
  <si>
    <r>
      <t xml:space="preserve">Average Daily Gain </t>
    </r>
    <r>
      <rPr>
        <sz val="10"/>
        <rFont val="Arial"/>
        <family val="2"/>
      </rPr>
      <t>( Pay Weight; Deads Out)</t>
    </r>
  </si>
  <si>
    <r>
      <t xml:space="preserve">Average Daily Gain </t>
    </r>
    <r>
      <rPr>
        <sz val="10"/>
        <rFont val="Arial"/>
        <family val="2"/>
      </rPr>
      <t>(Pay Weight; Deads Out)</t>
    </r>
  </si>
  <si>
    <t>Sale Price to Attain Given Return: RO vs. Sell at Weaning</t>
  </si>
  <si>
    <t>Return to Ownership for RO vs. Sell at Weaning</t>
  </si>
  <si>
    <t>Chronic rate (%; enter value in yellow cell to override default)</t>
  </si>
  <si>
    <t>Percent shrink prior to marketing if sold at weaning</t>
  </si>
  <si>
    <t xml:space="preserve">     </t>
  </si>
  <si>
    <t>College of Veterinary Medicine</t>
  </si>
  <si>
    <t>Kansas State University</t>
  </si>
  <si>
    <t>Kansas State University, College of Veterinary Medicine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</si>
</sst>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#,##0.0000"/>
    <numFmt numFmtId="167" formatCode="0.0000"/>
    <numFmt numFmtId="168" formatCode="&quot;$&quot;#,##0.0000"/>
    <numFmt numFmtId="169" formatCode="&quot;$&quot;#,##0.000"/>
  </numFmts>
  <fonts count="19">
    <font>
      <sz val="10"/>
      <name val="Arial"/>
      <family val="0"/>
    </font>
    <font>
      <sz val="14"/>
      <name val="Arial"/>
      <family val="2"/>
    </font>
    <font>
      <sz val="34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6"/>
      <color indexed="12"/>
      <name val="Arial"/>
      <family val="2"/>
    </font>
    <font>
      <sz val="14"/>
      <color indexed="8"/>
      <name val="Arial"/>
      <family val="2"/>
    </font>
    <font>
      <sz val="12"/>
      <color indexed="20"/>
      <name val="Arial"/>
      <family val="2"/>
    </font>
    <font>
      <sz val="14"/>
      <color indexed="4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8"/>
      <color indexed="12"/>
      <name val="Tahoma"/>
      <family val="2"/>
    </font>
    <font>
      <i/>
      <sz val="14"/>
      <color indexed="8"/>
      <name val="Arial"/>
      <family val="2"/>
    </font>
    <font>
      <i/>
      <sz val="14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64" fontId="0" fillId="2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2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64" fontId="0" fillId="3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 horizontal="left" wrapText="1" indent="2"/>
      <protection/>
    </xf>
    <xf numFmtId="0" fontId="0" fillId="0" borderId="0" xfId="0" applyAlignment="1" applyProtection="1">
      <alignment horizontal="left" wrapText="1"/>
      <protection/>
    </xf>
    <xf numFmtId="4" fontId="0" fillId="3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4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0" fontId="0" fillId="0" borderId="0" xfId="0" applyNumberFormat="1" applyFill="1" applyAlignment="1" applyProtection="1">
      <alignment horizontal="center"/>
      <protection/>
    </xf>
    <xf numFmtId="4" fontId="0" fillId="2" borderId="0" xfId="0" applyNumberFormat="1" applyFill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68" fontId="0" fillId="3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165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0" fontId="5" fillId="3" borderId="1" xfId="0" applyNumberFormat="1" applyFont="1" applyFill="1" applyBorder="1" applyAlignment="1" applyProtection="1">
      <alignment horizontal="center"/>
      <protection locked="0"/>
    </xf>
    <xf numFmtId="169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168" fontId="5" fillId="3" borderId="1" xfId="0" applyNumberFormat="1" applyFont="1" applyFill="1" applyBorder="1" applyAlignment="1" applyProtection="1">
      <alignment horizontal="center"/>
      <protection locked="0"/>
    </xf>
    <xf numFmtId="164" fontId="9" fillId="4" borderId="1" xfId="0" applyNumberFormat="1" applyFont="1" applyFill="1" applyBorder="1" applyAlignment="1" applyProtection="1">
      <alignment horizontal="center"/>
      <protection/>
    </xf>
    <xf numFmtId="4" fontId="9" fillId="4" borderId="1" xfId="0" applyNumberFormat="1" applyFont="1" applyFill="1" applyBorder="1" applyAlignment="1" applyProtection="1">
      <alignment horizontal="center"/>
      <protection/>
    </xf>
    <xf numFmtId="169" fontId="9" fillId="4" borderId="1" xfId="0" applyNumberFormat="1" applyFont="1" applyFill="1" applyBorder="1" applyAlignment="1" applyProtection="1">
      <alignment horizontal="center"/>
      <protection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168" fontId="9" fillId="4" borderId="1" xfId="0" applyNumberFormat="1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 locked="0"/>
    </xf>
    <xf numFmtId="10" fontId="5" fillId="4" borderId="1" xfId="0" applyNumberFormat="1" applyFont="1" applyFill="1" applyBorder="1" applyAlignment="1" applyProtection="1">
      <alignment horizontal="center"/>
      <protection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6" fillId="5" borderId="0" xfId="0" applyFont="1" applyFill="1" applyAlignment="1">
      <alignment horizontal="center" wrapText="1"/>
    </xf>
    <xf numFmtId="0" fontId="17" fillId="5" borderId="0" xfId="0" applyFont="1" applyFill="1" applyAlignment="1">
      <alignment horizontal="center" wrapText="1"/>
    </xf>
    <xf numFmtId="0" fontId="16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5" fillId="5" borderId="0" xfId="0" applyFont="1" applyFill="1" applyAlignment="1" applyProtection="1">
      <alignment horizontal="center"/>
      <protection/>
    </xf>
    <xf numFmtId="0" fontId="4" fillId="5" borderId="0" xfId="0" applyFont="1" applyFill="1" applyAlignment="1" applyProtection="1">
      <alignment horizontal="center" wrapText="1"/>
      <protection/>
    </xf>
    <xf numFmtId="0" fontId="0" fillId="5" borderId="0" xfId="0" applyFill="1" applyAlignment="1" applyProtection="1">
      <alignment horizontal="center" wrapText="1"/>
      <protection/>
    </xf>
    <xf numFmtId="0" fontId="7" fillId="5" borderId="0" xfId="0" applyFont="1" applyFill="1" applyAlignment="1" applyProtection="1">
      <alignment horizontal="center" wrapText="1"/>
      <protection/>
    </xf>
    <xf numFmtId="0" fontId="15" fillId="5" borderId="0" xfId="0" applyFont="1" applyFill="1" applyAlignment="1" applyProtection="1">
      <alignment horizontal="center" wrapText="1"/>
      <protection/>
    </xf>
    <xf numFmtId="0" fontId="3" fillId="5" borderId="0" xfId="0" applyFont="1" applyFill="1" applyAlignment="1" applyProtection="1">
      <alignment horizontal="center"/>
      <protection/>
    </xf>
    <xf numFmtId="0" fontId="5" fillId="5" borderId="0" xfId="0" applyFont="1" applyFill="1" applyAlignment="1" applyProtection="1">
      <alignment horizontal="left" vertical="center"/>
      <protection/>
    </xf>
    <xf numFmtId="0" fontId="5" fillId="5" borderId="0" xfId="0" applyFont="1" applyFill="1" applyAlignment="1" applyProtection="1">
      <alignment vertical="center"/>
      <protection/>
    </xf>
    <xf numFmtId="0" fontId="11" fillId="5" borderId="0" xfId="0" applyFont="1" applyFill="1" applyAlignment="1" applyProtection="1">
      <alignment horizontal="center"/>
      <protection/>
    </xf>
    <xf numFmtId="0" fontId="5" fillId="5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 wrapText="1"/>
      <protection/>
    </xf>
    <xf numFmtId="164" fontId="5" fillId="5" borderId="0" xfId="0" applyNumberFormat="1" applyFont="1" applyFill="1" applyAlignment="1" applyProtection="1">
      <alignment/>
      <protection/>
    </xf>
    <xf numFmtId="10" fontId="5" fillId="5" borderId="0" xfId="0" applyNumberFormat="1" applyFont="1" applyFill="1" applyAlignment="1" applyProtection="1">
      <alignment/>
      <protection/>
    </xf>
    <xf numFmtId="0" fontId="0" fillId="5" borderId="0" xfId="0" applyFill="1" applyAlignment="1" applyProtection="1">
      <alignment/>
      <protection locked="0"/>
    </xf>
    <xf numFmtId="2" fontId="5" fillId="5" borderId="0" xfId="0" applyNumberFormat="1" applyFont="1" applyFill="1" applyAlignment="1" applyProtection="1">
      <alignment/>
      <protection/>
    </xf>
    <xf numFmtId="164" fontId="5" fillId="5" borderId="0" xfId="0" applyNumberFormat="1" applyFont="1" applyFill="1" applyAlignment="1">
      <alignment/>
    </xf>
    <xf numFmtId="0" fontId="10" fillId="5" borderId="0" xfId="0" applyFont="1" applyFill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0" fillId="6" borderId="0" xfId="0" applyFill="1" applyAlignment="1" applyProtection="1">
      <alignment/>
      <protection/>
    </xf>
    <xf numFmtId="0" fontId="5" fillId="6" borderId="0" xfId="0" applyFont="1" applyFill="1" applyAlignment="1" applyProtection="1">
      <alignment horizontal="center"/>
      <protection/>
    </xf>
    <xf numFmtId="0" fontId="6" fillId="6" borderId="0" xfId="0" applyFont="1" applyFill="1" applyAlignment="1" applyProtection="1">
      <alignment horizontal="center"/>
      <protection/>
    </xf>
    <xf numFmtId="0" fontId="5" fillId="6" borderId="0" xfId="0" applyFont="1" applyFill="1" applyAlignment="1" applyProtection="1">
      <alignment horizontal="center"/>
      <protection/>
    </xf>
    <xf numFmtId="0" fontId="7" fillId="6" borderId="0" xfId="0" applyFont="1" applyFill="1" applyAlignment="1" applyProtection="1">
      <alignment horizontal="center" wrapText="1"/>
      <protection/>
    </xf>
    <xf numFmtId="0" fontId="8" fillId="6" borderId="0" xfId="0" applyFont="1" applyFill="1" applyAlignment="1" applyProtection="1">
      <alignment horizontal="center"/>
      <protection/>
    </xf>
    <xf numFmtId="0" fontId="5" fillId="6" borderId="0" xfId="0" applyFont="1" applyFill="1" applyAlignment="1" applyProtection="1">
      <alignment/>
      <protection/>
    </xf>
    <xf numFmtId="2" fontId="5" fillId="6" borderId="0" xfId="0" applyNumberFormat="1" applyFont="1" applyFill="1" applyAlignment="1" applyProtection="1">
      <alignment horizontal="center"/>
      <protection/>
    </xf>
    <xf numFmtId="164" fontId="5" fillId="6" borderId="0" xfId="0" applyNumberFormat="1" applyFont="1" applyFill="1" applyAlignment="1" applyProtection="1">
      <alignment horizontal="center"/>
      <protection/>
    </xf>
    <xf numFmtId="4" fontId="5" fillId="6" borderId="0" xfId="0" applyNumberFormat="1" applyFont="1" applyFill="1" applyAlignment="1" applyProtection="1">
      <alignment horizontal="center"/>
      <protection/>
    </xf>
    <xf numFmtId="10" fontId="5" fillId="6" borderId="0" xfId="0" applyNumberFormat="1" applyFont="1" applyFill="1" applyAlignment="1" applyProtection="1">
      <alignment horizontal="center"/>
      <protection/>
    </xf>
    <xf numFmtId="164" fontId="5" fillId="6" borderId="0" xfId="0" applyNumberFormat="1" applyFont="1" applyFill="1" applyAlignment="1" applyProtection="1">
      <alignment/>
      <protection/>
    </xf>
    <xf numFmtId="10" fontId="5" fillId="6" borderId="0" xfId="0" applyNumberFormat="1" applyFont="1" applyFill="1" applyAlignment="1" applyProtection="1">
      <alignment/>
      <protection/>
    </xf>
    <xf numFmtId="2" fontId="5" fillId="6" borderId="0" xfId="0" applyNumberFormat="1" applyFont="1" applyFill="1" applyAlignment="1" applyProtection="1">
      <alignment/>
      <protection/>
    </xf>
    <xf numFmtId="0" fontId="5" fillId="6" borderId="0" xfId="0" applyFont="1" applyFill="1" applyAlignment="1" applyProtection="1">
      <alignment/>
      <protection/>
    </xf>
    <xf numFmtId="0" fontId="10" fillId="6" borderId="0" xfId="0" applyFont="1" applyFill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164" fontId="9" fillId="6" borderId="0" xfId="0" applyNumberFormat="1" applyFont="1" applyFill="1" applyAlignment="1" applyProtection="1">
      <alignment horizontal="center"/>
      <protection/>
    </xf>
    <xf numFmtId="4" fontId="9" fillId="6" borderId="0" xfId="0" applyNumberFormat="1" applyFont="1" applyFill="1" applyAlignment="1" applyProtection="1">
      <alignment horizontal="center"/>
      <protection/>
    </xf>
    <xf numFmtId="0" fontId="14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 wrapText="1"/>
      <protection/>
    </xf>
    <xf numFmtId="0" fontId="10" fillId="5" borderId="0" xfId="0" applyFont="1" applyFill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D475"/>
  <sheetViews>
    <sheetView tabSelected="1" workbookViewId="0" topLeftCell="A1">
      <selection activeCell="A9" sqref="A9:I11"/>
    </sheetView>
  </sheetViews>
  <sheetFormatPr defaultColWidth="9.140625" defaultRowHeight="12.75"/>
  <cols>
    <col min="11" max="11" width="23.8515625" style="0" customWidth="1"/>
    <col min="12" max="12" width="35.8515625" style="0" customWidth="1"/>
    <col min="13" max="13" width="20.57421875" style="0" customWidth="1"/>
    <col min="14" max="14" width="11.28125" style="0" customWidth="1"/>
    <col min="15" max="15" width="66.57421875" style="0" customWidth="1"/>
    <col min="16" max="16" width="11.28125" style="0" customWidth="1"/>
    <col min="17" max="17" width="10.28125" style="0" hidden="1" customWidth="1"/>
    <col min="18" max="18" width="6.140625" style="0" hidden="1" customWidth="1"/>
    <col min="19" max="19" width="13.00390625" style="0" customWidth="1"/>
    <col min="53" max="53" width="51.140625" style="0" hidden="1" customWidth="1"/>
    <col min="54" max="54" width="11.7109375" style="0" hidden="1" customWidth="1"/>
    <col min="55" max="55" width="11.140625" style="0" hidden="1" customWidth="1"/>
    <col min="56" max="56" width="14.00390625" style="0" hidden="1" customWidth="1"/>
  </cols>
  <sheetData>
    <row r="1" spans="1:56" ht="18">
      <c r="A1" s="45"/>
      <c r="B1" s="45"/>
      <c r="C1" s="45"/>
      <c r="D1" s="45"/>
      <c r="E1" s="45"/>
      <c r="F1" s="45"/>
      <c r="G1" s="45"/>
      <c r="H1" s="45"/>
      <c r="I1" s="45"/>
      <c r="J1" s="45"/>
      <c r="K1" s="57"/>
      <c r="L1" s="57"/>
      <c r="M1" s="57"/>
      <c r="N1" s="57"/>
      <c r="O1" s="49"/>
      <c r="P1" s="49"/>
      <c r="Q1" s="49"/>
      <c r="R1" s="49"/>
      <c r="S1" s="45"/>
      <c r="T1" s="45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BA1" s="4" t="s">
        <v>24</v>
      </c>
      <c r="BB1" s="2"/>
      <c r="BC1" s="3" t="s">
        <v>16</v>
      </c>
      <c r="BD1" s="3" t="s">
        <v>17</v>
      </c>
    </row>
    <row r="2" spans="1:56" ht="15">
      <c r="A2" s="46" t="s">
        <v>52</v>
      </c>
      <c r="B2" s="43"/>
      <c r="C2" s="43"/>
      <c r="D2" s="43"/>
      <c r="E2" s="43"/>
      <c r="F2" s="44"/>
      <c r="G2" s="44"/>
      <c r="H2" s="44"/>
      <c r="I2" s="44"/>
      <c r="J2" s="45"/>
      <c r="K2" s="57"/>
      <c r="L2" s="57"/>
      <c r="M2" s="57"/>
      <c r="N2" s="57"/>
      <c r="O2" s="59" t="s">
        <v>110</v>
      </c>
      <c r="P2" s="59"/>
      <c r="Q2" s="59"/>
      <c r="R2" s="59"/>
      <c r="S2" s="59"/>
      <c r="T2" s="45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BA2" s="2" t="s">
        <v>47</v>
      </c>
      <c r="BB2" s="5">
        <f>'RO vs. sell at weaning'!S11</f>
        <v>0.88</v>
      </c>
      <c r="BC2" s="5">
        <f>((BB2*BB4)-(BB5+BB6))</f>
        <v>459.864</v>
      </c>
      <c r="BD2" s="2"/>
    </row>
    <row r="3" spans="1:56" ht="19.5" customHeight="1">
      <c r="A3" s="46"/>
      <c r="B3" s="43"/>
      <c r="C3" s="43"/>
      <c r="D3" s="43"/>
      <c r="E3" s="43"/>
      <c r="F3" s="44"/>
      <c r="G3" s="44"/>
      <c r="H3" s="44"/>
      <c r="I3" s="44"/>
      <c r="J3" s="45"/>
      <c r="K3" s="57"/>
      <c r="L3" s="57"/>
      <c r="M3" s="57"/>
      <c r="N3" s="57"/>
      <c r="O3" s="64" t="s">
        <v>104</v>
      </c>
      <c r="P3" s="64"/>
      <c r="Q3" s="64"/>
      <c r="R3" s="64"/>
      <c r="S3" s="64"/>
      <c r="T3" s="45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BA3" s="2" t="s">
        <v>55</v>
      </c>
      <c r="BB3" s="6">
        <f>'RO vs. sell at weaning'!S7</f>
        <v>555</v>
      </c>
      <c r="BC3" s="5"/>
      <c r="BD3" s="2"/>
    </row>
    <row r="4" spans="1:56" ht="2.25" customHeight="1" hidden="1">
      <c r="A4" s="43"/>
      <c r="B4" s="43"/>
      <c r="C4" s="43"/>
      <c r="D4" s="43"/>
      <c r="E4" s="43"/>
      <c r="F4" s="44"/>
      <c r="G4" s="44"/>
      <c r="H4" s="44"/>
      <c r="I4" s="44"/>
      <c r="J4" s="45"/>
      <c r="K4" s="57"/>
      <c r="L4" s="57"/>
      <c r="M4" s="57"/>
      <c r="N4" s="57"/>
      <c r="O4" s="60" t="s">
        <v>59</v>
      </c>
      <c r="P4" s="61"/>
      <c r="Q4" s="61"/>
      <c r="R4" s="61"/>
      <c r="S4" s="45"/>
      <c r="T4" s="45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BA4" s="2" t="s">
        <v>51</v>
      </c>
      <c r="BB4" s="7">
        <f>'RO vs. sell at weaning'!S7*(1-'RO vs. sell at weaning'!S8)</f>
        <v>532.8</v>
      </c>
      <c r="BC4" s="2"/>
      <c r="BD4" s="2"/>
    </row>
    <row r="5" spans="1:56" ht="32.25" customHeight="1" hidden="1">
      <c r="A5" s="43"/>
      <c r="B5" s="43"/>
      <c r="C5" s="43"/>
      <c r="D5" s="43"/>
      <c r="E5" s="43"/>
      <c r="F5" s="44"/>
      <c r="G5" s="44"/>
      <c r="H5" s="44"/>
      <c r="I5" s="44"/>
      <c r="J5" s="45"/>
      <c r="K5" s="57"/>
      <c r="L5" s="57"/>
      <c r="M5" s="57"/>
      <c r="N5" s="57"/>
      <c r="O5" s="62" t="s">
        <v>44</v>
      </c>
      <c r="P5" s="61"/>
      <c r="Q5" s="61"/>
      <c r="R5" s="61"/>
      <c r="S5" s="45"/>
      <c r="T5" s="45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BA5" s="2" t="s">
        <v>49</v>
      </c>
      <c r="BB5" s="5">
        <f>'RO vs. sell at weaning'!S9</f>
        <v>6</v>
      </c>
      <c r="BC5" s="2"/>
      <c r="BD5" s="2"/>
    </row>
    <row r="6" spans="1:56" ht="24" customHeight="1">
      <c r="A6" s="53" t="s">
        <v>108</v>
      </c>
      <c r="B6" s="54"/>
      <c r="C6" s="54"/>
      <c r="D6" s="54"/>
      <c r="E6" s="54"/>
      <c r="F6" s="54"/>
      <c r="G6" s="54"/>
      <c r="H6" s="54"/>
      <c r="I6" s="54"/>
      <c r="J6" s="45"/>
      <c r="K6" s="57"/>
      <c r="L6" s="57"/>
      <c r="M6" s="57"/>
      <c r="N6" s="57"/>
      <c r="O6" s="63" t="s">
        <v>26</v>
      </c>
      <c r="P6" s="63"/>
      <c r="Q6" s="63"/>
      <c r="R6" s="63"/>
      <c r="S6" s="63"/>
      <c r="T6" s="45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BA6" s="2" t="s">
        <v>90</v>
      </c>
      <c r="BB6" s="5">
        <f>'RO vs. sell at weaning'!S10</f>
        <v>3</v>
      </c>
      <c r="BC6" s="2"/>
      <c r="BD6" s="2"/>
    </row>
    <row r="7" spans="1:56" ht="17.25" customHeight="1">
      <c r="A7" s="55" t="s">
        <v>109</v>
      </c>
      <c r="B7" s="56"/>
      <c r="C7" s="56"/>
      <c r="D7" s="56"/>
      <c r="E7" s="56"/>
      <c r="F7" s="56"/>
      <c r="G7" s="56"/>
      <c r="H7" s="56"/>
      <c r="I7" s="56"/>
      <c r="J7" s="45"/>
      <c r="K7" s="57"/>
      <c r="L7" s="57"/>
      <c r="M7" s="57"/>
      <c r="N7" s="57"/>
      <c r="O7" s="65" t="s">
        <v>45</v>
      </c>
      <c r="P7" s="45"/>
      <c r="Q7" s="1"/>
      <c r="R7" s="2"/>
      <c r="S7" s="28">
        <v>555</v>
      </c>
      <c r="T7" s="45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BA7" s="2" t="s">
        <v>23</v>
      </c>
      <c r="BB7" s="5">
        <f>'RO vs. sell at weaning'!S13</f>
        <v>0</v>
      </c>
      <c r="BC7" s="8">
        <f>(BB7*1)</f>
        <v>0</v>
      </c>
      <c r="BD7" s="2"/>
    </row>
    <row r="8" spans="1:56" ht="18" customHeight="1">
      <c r="A8" s="53" t="s">
        <v>70</v>
      </c>
      <c r="B8" s="54"/>
      <c r="C8" s="54"/>
      <c r="D8" s="54"/>
      <c r="E8" s="54"/>
      <c r="F8" s="54"/>
      <c r="G8" s="54"/>
      <c r="H8" s="54"/>
      <c r="I8" s="54"/>
      <c r="J8" s="45"/>
      <c r="K8" s="57"/>
      <c r="L8" s="57"/>
      <c r="M8" s="57"/>
      <c r="N8" s="57"/>
      <c r="O8" s="65" t="s">
        <v>106</v>
      </c>
      <c r="P8" s="45"/>
      <c r="Q8" s="1"/>
      <c r="R8" s="2"/>
      <c r="S8" s="29">
        <v>0.04</v>
      </c>
      <c r="T8" s="45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BA8" s="2" t="s">
        <v>11</v>
      </c>
      <c r="BB8" s="9">
        <f>'RO vs. sell at weaning'!S14</f>
        <v>0.1</v>
      </c>
      <c r="BC8" s="2"/>
      <c r="BD8" s="2"/>
    </row>
    <row r="9" spans="1:56" ht="15" customHeight="1">
      <c r="A9" s="47" t="s">
        <v>71</v>
      </c>
      <c r="B9" s="48"/>
      <c r="C9" s="48"/>
      <c r="D9" s="48"/>
      <c r="E9" s="48"/>
      <c r="F9" s="48"/>
      <c r="G9" s="48"/>
      <c r="H9" s="48"/>
      <c r="I9" s="48"/>
      <c r="J9" s="45"/>
      <c r="K9" s="57"/>
      <c r="L9" s="57"/>
      <c r="M9" s="57"/>
      <c r="N9" s="57"/>
      <c r="O9" s="65" t="s">
        <v>50</v>
      </c>
      <c r="P9" s="45"/>
      <c r="Q9" s="1"/>
      <c r="R9" s="2"/>
      <c r="S9" s="30">
        <v>6</v>
      </c>
      <c r="T9" s="45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BA9" s="2" t="s">
        <v>15</v>
      </c>
      <c r="BB9" s="10">
        <f>(((BB8/365)*BB16)*(BC2+BC18))+(((BB8/365)*BB16*0.5)*(BC10+BC17+BC20+BC22+BC7))</f>
        <v>12.468162328767123</v>
      </c>
      <c r="BC9" s="5">
        <f>(BB9*1)</f>
        <v>12.468162328767123</v>
      </c>
      <c r="BD9" s="2"/>
    </row>
    <row r="10" spans="1:56" ht="15" customHeight="1">
      <c r="A10" s="48"/>
      <c r="B10" s="48"/>
      <c r="C10" s="48"/>
      <c r="D10" s="48"/>
      <c r="E10" s="48"/>
      <c r="F10" s="48"/>
      <c r="G10" s="48"/>
      <c r="H10" s="48"/>
      <c r="I10" s="48"/>
      <c r="J10" s="45"/>
      <c r="K10" s="57"/>
      <c r="L10" s="57"/>
      <c r="M10" s="57"/>
      <c r="N10" s="57"/>
      <c r="O10" s="65" t="s">
        <v>90</v>
      </c>
      <c r="P10" s="45"/>
      <c r="Q10" s="1"/>
      <c r="R10" s="2"/>
      <c r="S10" s="30">
        <v>3</v>
      </c>
      <c r="T10" s="45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BA10" s="2" t="s">
        <v>0</v>
      </c>
      <c r="BB10" s="6">
        <f>'RO vs. sell at weaning'!S15</f>
        <v>0.06</v>
      </c>
      <c r="BC10" s="5">
        <f>(BB10*BB15)</f>
        <v>40.2975</v>
      </c>
      <c r="BD10" s="2"/>
    </row>
    <row r="11" spans="1:56" ht="15" customHeight="1">
      <c r="A11" s="49"/>
      <c r="B11" s="49"/>
      <c r="C11" s="49"/>
      <c r="D11" s="49"/>
      <c r="E11" s="49"/>
      <c r="F11" s="49"/>
      <c r="G11" s="49"/>
      <c r="H11" s="49"/>
      <c r="I11" s="49"/>
      <c r="J11" s="45"/>
      <c r="K11" s="57"/>
      <c r="L11" s="57"/>
      <c r="M11" s="57"/>
      <c r="N11" s="57"/>
      <c r="O11" s="66" t="s">
        <v>48</v>
      </c>
      <c r="P11" s="45"/>
      <c r="Q11" s="1"/>
      <c r="R11" s="2"/>
      <c r="S11" s="30">
        <v>0.88</v>
      </c>
      <c r="T11" s="45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BA11" s="2" t="s">
        <v>36</v>
      </c>
      <c r="BB11" s="6">
        <f>'RO vs. sell at weaning'!S16</f>
        <v>7.5</v>
      </c>
      <c r="BC11" s="6"/>
      <c r="BD11" s="2"/>
    </row>
    <row r="12" spans="1:56" ht="28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57"/>
      <c r="L12" s="57"/>
      <c r="M12" s="57"/>
      <c r="N12" s="58"/>
      <c r="O12" s="67" t="s">
        <v>46</v>
      </c>
      <c r="P12" s="67"/>
      <c r="Q12" s="2"/>
      <c r="R12" s="2"/>
      <c r="S12" s="72"/>
      <c r="T12" s="45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BA12" s="11" t="s">
        <v>68</v>
      </c>
      <c r="BB12" s="12">
        <f>((BB28-BB4)*(1-BB23))/BB16</f>
        <v>2.1737100000000003</v>
      </c>
      <c r="BC12" s="2"/>
      <c r="BD12" s="2"/>
    </row>
    <row r="13" spans="1:56" ht="18" customHeight="1">
      <c r="A13" s="50"/>
      <c r="B13" s="51"/>
      <c r="C13" s="51"/>
      <c r="D13" s="51"/>
      <c r="E13" s="51"/>
      <c r="F13" s="51"/>
      <c r="G13" s="51"/>
      <c r="H13" s="52"/>
      <c r="I13" s="52"/>
      <c r="J13" s="45"/>
      <c r="K13" s="57"/>
      <c r="L13" s="57"/>
      <c r="M13" s="57"/>
      <c r="N13" s="57"/>
      <c r="O13" s="68" t="s">
        <v>72</v>
      </c>
      <c r="P13" s="45"/>
      <c r="Q13" s="2"/>
      <c r="R13" s="2"/>
      <c r="S13" s="31">
        <v>0</v>
      </c>
      <c r="T13" s="45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BA13" s="11" t="s">
        <v>69</v>
      </c>
      <c r="BB13" s="12">
        <f>((BB28-BB4)/BB16)</f>
        <v>2.195666666666667</v>
      </c>
      <c r="BC13" s="2"/>
      <c r="BD13" s="2"/>
    </row>
    <row r="14" spans="1:56" ht="1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57"/>
      <c r="L14" s="57"/>
      <c r="M14" s="57"/>
      <c r="N14" s="57"/>
      <c r="O14" s="68" t="s">
        <v>73</v>
      </c>
      <c r="P14" s="45"/>
      <c r="Q14" s="2"/>
      <c r="R14" s="2"/>
      <c r="S14" s="32">
        <v>0.1</v>
      </c>
      <c r="T14" s="45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BA14" s="11" t="s">
        <v>13</v>
      </c>
      <c r="BB14" s="13">
        <f>(BB11*BB16)</f>
        <v>675</v>
      </c>
      <c r="BC14" s="2"/>
      <c r="BD14" s="2"/>
    </row>
    <row r="15" spans="1:56" ht="1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57"/>
      <c r="L15" s="57"/>
      <c r="M15" s="57"/>
      <c r="N15" s="57"/>
      <c r="O15" s="68" t="s">
        <v>74</v>
      </c>
      <c r="P15" s="45"/>
      <c r="Q15" s="2"/>
      <c r="R15" s="2"/>
      <c r="S15" s="33">
        <v>0.06</v>
      </c>
      <c r="T15" s="45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BA15" s="11" t="s">
        <v>12</v>
      </c>
      <c r="BB15" s="12">
        <f>(BB11*BB16)*(1-(BB23*0.5))</f>
        <v>671.625</v>
      </c>
      <c r="BC15" s="25"/>
      <c r="BD15" s="2"/>
    </row>
    <row r="16" spans="1:56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68" t="s">
        <v>75</v>
      </c>
      <c r="P16" s="45"/>
      <c r="Q16" s="2"/>
      <c r="R16" s="2"/>
      <c r="S16" s="34">
        <v>7.5</v>
      </c>
      <c r="T16" s="45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BA16" s="2" t="s">
        <v>1</v>
      </c>
      <c r="BB16" s="14">
        <f>'RO vs. sell at weaning'!S17</f>
        <v>90</v>
      </c>
      <c r="BC16" s="2"/>
      <c r="BD16" s="2"/>
    </row>
    <row r="17" spans="1:56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68" t="s">
        <v>89</v>
      </c>
      <c r="P17" s="45"/>
      <c r="Q17" s="2"/>
      <c r="R17" s="2"/>
      <c r="S17" s="34">
        <v>90</v>
      </c>
      <c r="T17" s="45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BA17" s="2" t="s">
        <v>4</v>
      </c>
      <c r="BB17" s="5">
        <f>'RO vs. sell at weaning'!S18</f>
        <v>0.3</v>
      </c>
      <c r="BC17" s="5">
        <f>(BB16*BB17)*(1-(BB23*0.5))</f>
        <v>26.865</v>
      </c>
      <c r="BD17" s="2"/>
    </row>
    <row r="18" spans="1:56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68" t="s">
        <v>100</v>
      </c>
      <c r="P18" s="45"/>
      <c r="Q18" s="2"/>
      <c r="R18" s="2"/>
      <c r="S18" s="31">
        <v>0.3</v>
      </c>
      <c r="T18" s="45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BA18" s="2" t="s">
        <v>5</v>
      </c>
      <c r="BB18" s="5">
        <f>'RO vs. sell at weaning'!S19</f>
        <v>10</v>
      </c>
      <c r="BC18" s="8">
        <f>(BB18*1)</f>
        <v>10</v>
      </c>
      <c r="BD18" s="2"/>
    </row>
    <row r="19" spans="1:56" ht="29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69" t="s">
        <v>86</v>
      </c>
      <c r="P19" s="45"/>
      <c r="Q19" s="2"/>
      <c r="R19" s="2"/>
      <c r="S19" s="31">
        <v>10</v>
      </c>
      <c r="T19" s="45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BA19" s="2" t="s">
        <v>2</v>
      </c>
      <c r="BB19" s="9">
        <f>'RO vs. sell at weaning'!S20</f>
        <v>0.16</v>
      </c>
      <c r="BC19" s="2"/>
      <c r="BD19" s="2"/>
    </row>
    <row r="20" spans="1:56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68" t="s">
        <v>27</v>
      </c>
      <c r="P20" s="45"/>
      <c r="Q20" s="2"/>
      <c r="R20" s="2"/>
      <c r="S20" s="32">
        <v>0.16</v>
      </c>
      <c r="T20" s="45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BA20" s="2" t="s">
        <v>20</v>
      </c>
      <c r="BB20" s="5">
        <f>'RO vs. sell at weaning'!S21</f>
        <v>25</v>
      </c>
      <c r="BC20" s="5">
        <f>(BB19*BB20)</f>
        <v>4</v>
      </c>
      <c r="BD20" s="2"/>
    </row>
    <row r="21" spans="1:56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68" t="s">
        <v>28</v>
      </c>
      <c r="P21" s="45"/>
      <c r="Q21" s="2"/>
      <c r="R21" s="2"/>
      <c r="S21" s="31">
        <v>25</v>
      </c>
      <c r="T21" s="45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BA21" s="2" t="s">
        <v>22</v>
      </c>
      <c r="BB21" s="9">
        <f>'RO vs. sell at weaning'!S22</f>
        <v>0.1</v>
      </c>
      <c r="BC21" s="2"/>
      <c r="BD21" s="2"/>
    </row>
    <row r="22" spans="1:56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68" t="s">
        <v>76</v>
      </c>
      <c r="P22" s="45"/>
      <c r="Q22" s="2"/>
      <c r="R22" s="2"/>
      <c r="S22" s="32">
        <v>0.1</v>
      </c>
      <c r="T22" s="45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BA22" s="2" t="s">
        <v>21</v>
      </c>
      <c r="BB22" s="5">
        <f>'RO vs. sell at weaning'!S23</f>
        <v>26</v>
      </c>
      <c r="BC22" s="5">
        <f>(BB19*BB21*BB22)</f>
        <v>0.41600000000000004</v>
      </c>
      <c r="BD22" s="2"/>
    </row>
    <row r="23" spans="1:56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70" t="s">
        <v>94</v>
      </c>
      <c r="P23" s="45"/>
      <c r="Q23" s="2"/>
      <c r="R23" s="2"/>
      <c r="S23" s="31">
        <v>26</v>
      </c>
      <c r="T23" s="45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BA23" s="2" t="s">
        <v>3</v>
      </c>
      <c r="BB23" s="9">
        <v>0.01</v>
      </c>
      <c r="BC23" s="2"/>
      <c r="BD23" s="2"/>
    </row>
    <row r="24" spans="1:56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71" t="s">
        <v>29</v>
      </c>
      <c r="P24" s="45"/>
      <c r="Q24" s="2"/>
      <c r="R24" s="2"/>
      <c r="S24" s="32">
        <v>0.009</v>
      </c>
      <c r="T24" s="45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BA24" s="2" t="s">
        <v>63</v>
      </c>
      <c r="BB24" s="9">
        <f>'RO vs. sell at weaning'!S25</f>
        <v>0.00225</v>
      </c>
      <c r="BC24" s="2"/>
      <c r="BD24" s="2"/>
    </row>
    <row r="25" spans="1:56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71" t="s">
        <v>105</v>
      </c>
      <c r="P25" s="41"/>
      <c r="Q25" s="2"/>
      <c r="R25" s="2"/>
      <c r="S25" s="42">
        <f>IF(P25&gt;0,P25,S24*0.25)</f>
        <v>0.00225</v>
      </c>
      <c r="T25" s="45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BA25" s="2" t="s">
        <v>8</v>
      </c>
      <c r="BB25" s="5">
        <f>'RO vs. sell at weaning'!S26</f>
        <v>0.79</v>
      </c>
      <c r="BC25" s="2"/>
      <c r="BD25" s="2"/>
    </row>
    <row r="26" spans="1:56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70" t="s">
        <v>30</v>
      </c>
      <c r="P26" s="45"/>
      <c r="Q26" s="2"/>
      <c r="R26" s="2"/>
      <c r="S26" s="35">
        <v>0.79</v>
      </c>
      <c r="T26" s="45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BA26" s="2" t="s">
        <v>9</v>
      </c>
      <c r="BB26" s="6">
        <f>'RO vs. sell at weaning'!S27</f>
        <v>753</v>
      </c>
      <c r="BC26" s="2"/>
      <c r="BD26" s="2"/>
    </row>
    <row r="27" spans="1:56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73" t="s">
        <v>31</v>
      </c>
      <c r="P27" s="45"/>
      <c r="Q27" s="2"/>
      <c r="R27" s="2"/>
      <c r="S27" s="34">
        <v>753</v>
      </c>
      <c r="T27" s="45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BA27" s="2" t="s">
        <v>10</v>
      </c>
      <c r="BB27" s="9">
        <f>'RO vs. sell at weaning'!S28</f>
        <v>0.03</v>
      </c>
      <c r="BC27" s="2"/>
      <c r="BD27" s="2"/>
    </row>
    <row r="28" spans="1:56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71" t="s">
        <v>32</v>
      </c>
      <c r="P28" s="45"/>
      <c r="Q28" s="2"/>
      <c r="R28" s="2"/>
      <c r="S28" s="32">
        <v>0.03</v>
      </c>
      <c r="T28" s="45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BA28" s="2" t="s">
        <v>14</v>
      </c>
      <c r="BB28" s="12">
        <f>(BB26*(1-BB27))</f>
        <v>730.41</v>
      </c>
      <c r="BC28" s="2"/>
      <c r="BD28" s="5">
        <f>(BB25*BB28*(1-BB23))</f>
        <v>571.253661</v>
      </c>
    </row>
    <row r="29" spans="1:56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70" t="s">
        <v>35</v>
      </c>
      <c r="P29" s="45"/>
      <c r="Q29" s="2"/>
      <c r="R29" s="2"/>
      <c r="S29" s="31">
        <v>1</v>
      </c>
      <c r="T29" s="45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BA29" s="2" t="s">
        <v>18</v>
      </c>
      <c r="BB29" s="5">
        <f>'RO vs. sell at weaning'!S29</f>
        <v>1</v>
      </c>
      <c r="BC29" s="5">
        <f>(BB29*1)*(1-BB23)</f>
        <v>0.99</v>
      </c>
      <c r="BD29" s="2"/>
    </row>
    <row r="30" spans="1:56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70" t="s">
        <v>91</v>
      </c>
      <c r="P30" s="45"/>
      <c r="Q30" s="2"/>
      <c r="R30" s="2"/>
      <c r="S30" s="31">
        <v>3.5</v>
      </c>
      <c r="T30" s="45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BA30" s="2" t="s">
        <v>92</v>
      </c>
      <c r="BB30" s="5">
        <f>'RO vs. sell at weaning'!S30</f>
        <v>3.5</v>
      </c>
      <c r="BC30" s="5">
        <f>BB30*(1-BB23)</f>
        <v>3.465</v>
      </c>
      <c r="BD30" s="2"/>
    </row>
    <row r="31" spans="1:56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74" t="s">
        <v>62</v>
      </c>
      <c r="P31" s="45"/>
      <c r="Q31" s="2"/>
      <c r="R31" s="2"/>
      <c r="S31" s="31">
        <v>150</v>
      </c>
      <c r="T31" s="45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BA31" s="2" t="s">
        <v>66</v>
      </c>
      <c r="BB31" s="5">
        <f>'RO vs. sell at weaning'!S31</f>
        <v>150</v>
      </c>
      <c r="BC31" s="5">
        <f>BB31*BB24</f>
        <v>0.33749999999999997</v>
      </c>
      <c r="BD31" s="2"/>
    </row>
    <row r="32" spans="1:56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68"/>
      <c r="P32" s="68"/>
      <c r="Q32" s="2"/>
      <c r="R32" s="2"/>
      <c r="S32" s="45"/>
      <c r="T32" s="45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BA32" s="2" t="s">
        <v>64</v>
      </c>
      <c r="BB32" s="15">
        <f>SUM(BD2:BD30)-SUM(BC2:BC30)</f>
        <v>12.887998671232822</v>
      </c>
      <c r="BC32" s="5"/>
      <c r="BD32" s="2"/>
    </row>
    <row r="33" spans="1:56" ht="18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75" t="s">
        <v>33</v>
      </c>
      <c r="P33" s="77"/>
      <c r="Q33" s="2"/>
      <c r="R33" s="2"/>
      <c r="S33" s="45"/>
      <c r="T33" s="45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BA33" s="2" t="s">
        <v>65</v>
      </c>
      <c r="BB33" s="26">
        <f>SUM(BD2:BD31)-SUM(BC2:BC31)</f>
        <v>12.550498671232845</v>
      </c>
      <c r="BC33" s="5"/>
      <c r="BD33" s="2"/>
    </row>
    <row r="34" spans="1:56" ht="1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68" t="s">
        <v>34</v>
      </c>
      <c r="P34" s="45"/>
      <c r="Q34" s="2"/>
      <c r="R34" s="2"/>
      <c r="S34" s="36">
        <f>'RO vs. sell at weaning'!BB9</f>
        <v>12.468162328767123</v>
      </c>
      <c r="T34" s="45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BA34" s="11" t="s">
        <v>19</v>
      </c>
      <c r="BB34" s="26">
        <f>(SUM(BC7:BC31))/(BB28-BB4)</f>
        <v>0.5001728775303229</v>
      </c>
      <c r="BC34" s="5"/>
      <c r="BD34" s="2"/>
    </row>
    <row r="35" spans="1:56" ht="1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68" t="s">
        <v>53</v>
      </c>
      <c r="P35" s="45"/>
      <c r="Q35" s="2"/>
      <c r="R35" s="2"/>
      <c r="S35" s="37">
        <f>S7*(1-S8)</f>
        <v>532.8</v>
      </c>
      <c r="T35" s="45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BA35" s="16" t="s">
        <v>37</v>
      </c>
      <c r="BB35" s="26">
        <f>SUM(BC7:BC31)/((BB28-BB4)*(1-BB23))</f>
        <v>0.505225128818508</v>
      </c>
      <c r="BC35" s="5"/>
      <c r="BD35" s="2"/>
    </row>
    <row r="36" spans="1:56" ht="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68" t="s">
        <v>43</v>
      </c>
      <c r="P36" s="45"/>
      <c r="Q36" s="2"/>
      <c r="R36" s="2"/>
      <c r="S36" s="36">
        <f>'RO vs. sell at weaning'!BC2</f>
        <v>459.864</v>
      </c>
      <c r="T36" s="45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BA36" s="17" t="s">
        <v>41</v>
      </c>
      <c r="BB36" s="18">
        <f>BB14/(BB28-BB4)</f>
        <v>3.415819037498102</v>
      </c>
      <c r="BC36" s="5"/>
      <c r="BD36" s="2"/>
    </row>
    <row r="37" spans="1:56" ht="1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68" t="s">
        <v>101</v>
      </c>
      <c r="P37" s="45"/>
      <c r="Q37" s="2"/>
      <c r="R37" s="2"/>
      <c r="S37" s="37">
        <f>'RO vs. sell at weaning'!BB13</f>
        <v>2.195666666666667</v>
      </c>
      <c r="T37" s="45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BA37" s="16" t="s">
        <v>42</v>
      </c>
      <c r="BB37" s="18">
        <f>BB15/(BB28-BB4)</f>
        <v>3.3987399423106117</v>
      </c>
      <c r="BC37" s="5"/>
      <c r="BD37" s="2"/>
    </row>
    <row r="38" spans="1:56" ht="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68" t="s">
        <v>99</v>
      </c>
      <c r="P38" s="45"/>
      <c r="Q38" s="2"/>
      <c r="R38" s="2"/>
      <c r="S38" s="37">
        <f>'RO vs. sell at weaning'!BB12</f>
        <v>2.1737100000000003</v>
      </c>
      <c r="T38" s="45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BA38" s="2"/>
      <c r="BB38" s="2"/>
      <c r="BC38" s="2"/>
      <c r="BD38" s="2"/>
    </row>
    <row r="39" spans="1:56" ht="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68" t="s">
        <v>54</v>
      </c>
      <c r="P39" s="45"/>
      <c r="Q39" s="2"/>
      <c r="R39" s="2"/>
      <c r="S39" s="37">
        <f>'RO vs. sell at weaning'!BB28</f>
        <v>730.41</v>
      </c>
      <c r="T39" s="45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BA39" s="2" t="s">
        <v>95</v>
      </c>
      <c r="BB39" s="2"/>
      <c r="BC39" s="2"/>
      <c r="BD39" s="2"/>
    </row>
    <row r="40" spans="1:56" ht="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68" t="s">
        <v>87</v>
      </c>
      <c r="P40" s="45"/>
      <c r="Q40" s="2"/>
      <c r="R40" s="2"/>
      <c r="S40" s="37">
        <f>'RO vs. sell at weaning'!BB15</f>
        <v>671.625</v>
      </c>
      <c r="T40" s="45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BA40" s="2" t="s">
        <v>7</v>
      </c>
      <c r="BB40" s="2"/>
      <c r="BC40" s="2"/>
      <c r="BD40" s="2"/>
    </row>
    <row r="41" spans="1:46" ht="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68" t="s">
        <v>96</v>
      </c>
      <c r="P41" s="45"/>
      <c r="Q41" s="2"/>
      <c r="R41" s="2"/>
      <c r="S41" s="37">
        <f>'RO vs. sell at weaning'!BB37</f>
        <v>3.3987399423106117</v>
      </c>
      <c r="T41" s="45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</row>
    <row r="42" spans="1:56" ht="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68" t="s">
        <v>97</v>
      </c>
      <c r="P42" s="45"/>
      <c r="Q42" s="2"/>
      <c r="R42" s="2"/>
      <c r="S42" s="38">
        <f>'RO vs. sell at weaning'!BB35</f>
        <v>0.505225128818508</v>
      </c>
      <c r="T42" s="45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BA42" s="2"/>
      <c r="BB42" s="2"/>
      <c r="BC42" s="2"/>
      <c r="BD42" s="2"/>
    </row>
    <row r="43" spans="1:56" ht="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68" t="s">
        <v>61</v>
      </c>
      <c r="P43" s="45"/>
      <c r="Q43" s="2"/>
      <c r="R43" s="2"/>
      <c r="S43" s="36">
        <f>'RO vs. sell at weaning'!BB33</f>
        <v>12.550498671232845</v>
      </c>
      <c r="T43" s="45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BA43" s="2"/>
      <c r="BB43" s="2"/>
      <c r="BC43" s="2"/>
      <c r="BD43" s="2"/>
    </row>
    <row r="44" spans="1:56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45"/>
      <c r="P44" s="45"/>
      <c r="Q44" s="2"/>
      <c r="R44" s="2"/>
      <c r="S44" s="45"/>
      <c r="T44" s="45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BA44" s="2"/>
      <c r="BB44" s="2"/>
      <c r="BC44" s="2"/>
      <c r="BD44" s="2"/>
    </row>
    <row r="45" spans="1:56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45"/>
      <c r="P45" s="45"/>
      <c r="Q45" s="2"/>
      <c r="R45" s="2"/>
      <c r="S45" s="45"/>
      <c r="T45" s="45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BA45" s="2"/>
      <c r="BB45" s="2"/>
      <c r="BC45" s="2"/>
      <c r="BD45" s="2"/>
    </row>
    <row r="46" spans="1:56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45"/>
      <c r="P46" s="45"/>
      <c r="Q46" s="2"/>
      <c r="R46" s="2"/>
      <c r="S46" s="45"/>
      <c r="T46" s="45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BA46" s="2"/>
      <c r="BB46" s="2"/>
      <c r="BC46" s="2"/>
      <c r="BD46" s="2"/>
    </row>
    <row r="47" spans="1:56" ht="18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45"/>
      <c r="P47" s="45"/>
      <c r="Q47" s="2"/>
      <c r="R47" s="2"/>
      <c r="S47" s="45"/>
      <c r="T47" s="45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BA47" s="4"/>
      <c r="BB47" s="2"/>
      <c r="BC47" s="3"/>
      <c r="BD47" s="3"/>
    </row>
    <row r="48" spans="1:56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45"/>
      <c r="P48" s="45"/>
      <c r="Q48" s="2"/>
      <c r="R48" s="2"/>
      <c r="S48" s="45"/>
      <c r="T48" s="45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BA48" s="2"/>
      <c r="BB48" s="7"/>
      <c r="BC48" s="2"/>
      <c r="BD48" s="2"/>
    </row>
    <row r="49" spans="1:56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76"/>
      <c r="P49" s="76"/>
      <c r="Q49" s="2"/>
      <c r="R49" s="2"/>
      <c r="S49" s="45"/>
      <c r="T49" s="45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BA49" s="2"/>
      <c r="BB49" s="5"/>
      <c r="BC49" s="8"/>
      <c r="BD49" s="2"/>
    </row>
    <row r="50" spans="1:56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78"/>
      <c r="P50" s="78"/>
      <c r="Q50" s="78"/>
      <c r="R50" s="78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BA50" s="2"/>
      <c r="BB50" s="5"/>
      <c r="BC50" s="8"/>
      <c r="BD50" s="2"/>
    </row>
    <row r="51" spans="1:56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78"/>
      <c r="P51" s="78"/>
      <c r="Q51" s="78"/>
      <c r="R51" s="78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BA51" s="2"/>
      <c r="BB51" s="9"/>
      <c r="BC51" s="2"/>
      <c r="BD51" s="2"/>
    </row>
    <row r="52" spans="1:56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78"/>
      <c r="P52" s="78"/>
      <c r="Q52" s="78"/>
      <c r="R52" s="78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BA52" s="2"/>
      <c r="BB52" s="8"/>
      <c r="BC52" s="5"/>
      <c r="BD52" s="2"/>
    </row>
    <row r="53" spans="1:56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78"/>
      <c r="P53" s="78"/>
      <c r="Q53" s="78"/>
      <c r="R53" s="78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BA53" s="2"/>
      <c r="BB53" s="5"/>
      <c r="BC53" s="5"/>
      <c r="BD53" s="2"/>
    </row>
    <row r="54" spans="1:56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78"/>
      <c r="P54" s="78"/>
      <c r="Q54" s="78"/>
      <c r="R54" s="78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BA54" s="2"/>
      <c r="BB54" s="6"/>
      <c r="BC54" s="2"/>
      <c r="BD54" s="2"/>
    </row>
    <row r="55" spans="1:56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78"/>
      <c r="P55" s="78"/>
      <c r="Q55" s="78"/>
      <c r="R55" s="78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BA55" s="11"/>
      <c r="BB55" s="19"/>
      <c r="BC55" s="2"/>
      <c r="BD55" s="2"/>
    </row>
    <row r="56" spans="1:56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78"/>
      <c r="P56" s="78"/>
      <c r="Q56" s="78"/>
      <c r="R56" s="78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BA56" s="11"/>
      <c r="BB56" s="20"/>
      <c r="BC56" s="2"/>
      <c r="BD56" s="2"/>
    </row>
    <row r="57" spans="1:56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78"/>
      <c r="P57" s="78"/>
      <c r="Q57" s="78"/>
      <c r="R57" s="78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BA57" s="11"/>
      <c r="BB57" s="19"/>
      <c r="BC57" s="2"/>
      <c r="BD57" s="2"/>
    </row>
    <row r="58" spans="1:56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78"/>
      <c r="P58" s="78"/>
      <c r="Q58" s="78"/>
      <c r="R58" s="78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BA58" s="11"/>
      <c r="BB58" s="19"/>
      <c r="BC58" s="2"/>
      <c r="BD58" s="2"/>
    </row>
    <row r="59" spans="1:56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78"/>
      <c r="P59" s="78"/>
      <c r="Q59" s="78"/>
      <c r="R59" s="78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BA59" s="2"/>
      <c r="BB59" s="14"/>
      <c r="BC59" s="2"/>
      <c r="BD59" s="2"/>
    </row>
    <row r="60" spans="1:56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78"/>
      <c r="P60" s="78"/>
      <c r="Q60" s="78"/>
      <c r="R60" s="78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BA60" s="2"/>
      <c r="BB60" s="5"/>
      <c r="BC60" s="5"/>
      <c r="BD60" s="2"/>
    </row>
    <row r="61" spans="1:56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78"/>
      <c r="P61" s="78"/>
      <c r="Q61" s="78"/>
      <c r="R61" s="78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BA61" s="2"/>
      <c r="BB61" s="5"/>
      <c r="BC61" s="8"/>
      <c r="BD61" s="2"/>
    </row>
    <row r="62" spans="1:56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78"/>
      <c r="P62" s="78"/>
      <c r="Q62" s="78"/>
      <c r="R62" s="78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BA62" s="2"/>
      <c r="BB62" s="9"/>
      <c r="BC62" s="2"/>
      <c r="BD62" s="2"/>
    </row>
    <row r="63" spans="1:56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78"/>
      <c r="P63" s="78"/>
      <c r="Q63" s="78"/>
      <c r="R63" s="78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BA63" s="2"/>
      <c r="BB63" s="5"/>
      <c r="BC63" s="5"/>
      <c r="BD63" s="2"/>
    </row>
    <row r="64" spans="1:56" ht="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79"/>
      <c r="P64" s="79"/>
      <c r="Q64" s="79"/>
      <c r="R64" s="79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BA64" s="2"/>
      <c r="BB64" s="9"/>
      <c r="BC64" s="2"/>
      <c r="BD64" s="2"/>
    </row>
    <row r="65" spans="1:56" ht="25.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80"/>
      <c r="P65" s="79"/>
      <c r="Q65" s="81"/>
      <c r="R65" s="81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BA65" s="2"/>
      <c r="BB65" s="5"/>
      <c r="BC65" s="5"/>
      <c r="BD65" s="2"/>
    </row>
    <row r="66" spans="1:56" ht="24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82"/>
      <c r="P66" s="82"/>
      <c r="Q66" s="82"/>
      <c r="R66" s="82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BA66" s="2"/>
      <c r="BB66" s="9"/>
      <c r="BC66" s="2"/>
      <c r="BD66" s="2"/>
    </row>
    <row r="67" spans="1:56" ht="12.75" hidden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78"/>
      <c r="P67" s="78"/>
      <c r="Q67" s="78"/>
      <c r="R67" s="78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BA67" s="2"/>
      <c r="BB67" s="5"/>
      <c r="BC67" s="2"/>
      <c r="BD67" s="2"/>
    </row>
    <row r="68" spans="1:56" ht="36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83"/>
      <c r="P68" s="83"/>
      <c r="Q68" s="83"/>
      <c r="R68" s="83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BA68" s="2"/>
      <c r="BB68" s="6"/>
      <c r="BC68" s="2"/>
      <c r="BD68" s="2"/>
    </row>
    <row r="69" spans="1:56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84"/>
      <c r="P69" s="85"/>
      <c r="Q69" s="78"/>
      <c r="R69" s="78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BA69" s="2"/>
      <c r="BB69" s="9"/>
      <c r="BC69" s="2"/>
      <c r="BD69" s="2"/>
    </row>
    <row r="70" spans="1:56" ht="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84"/>
      <c r="P70" s="86"/>
      <c r="Q70" s="78"/>
      <c r="R70" s="78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BA70" s="2"/>
      <c r="BB70" s="19"/>
      <c r="BC70" s="2"/>
      <c r="BD70" s="5"/>
    </row>
    <row r="71" spans="1:56" ht="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84"/>
      <c r="P71" s="86"/>
      <c r="Q71" s="78"/>
      <c r="R71" s="78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BA71" s="2"/>
      <c r="BB71" s="5"/>
      <c r="BC71" s="5"/>
      <c r="BD71" s="2"/>
    </row>
    <row r="72" spans="1:56" ht="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84"/>
      <c r="P72" s="87"/>
      <c r="Q72" s="78"/>
      <c r="R72" s="78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BA72" s="2"/>
      <c r="BB72" s="5"/>
      <c r="BC72" s="5"/>
      <c r="BD72" s="2"/>
    </row>
    <row r="73" spans="1:56" ht="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84"/>
      <c r="P73" s="85"/>
      <c r="Q73" s="78"/>
      <c r="R73" s="78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BA73" s="11"/>
      <c r="BB73" s="8"/>
      <c r="BC73" s="8"/>
      <c r="BD73" s="2"/>
    </row>
    <row r="74" spans="1:56" ht="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84"/>
      <c r="P74" s="86"/>
      <c r="Q74" s="78"/>
      <c r="R74" s="78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BA74" s="11"/>
      <c r="BB74" s="8"/>
      <c r="BC74" s="8"/>
      <c r="BD74" s="2"/>
    </row>
    <row r="75" spans="1:56" ht="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84"/>
      <c r="P75" s="86"/>
      <c r="Q75" s="78"/>
      <c r="R75" s="78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BA75" s="11"/>
      <c r="BB75" s="21"/>
      <c r="BC75" s="8"/>
      <c r="BD75" s="2"/>
    </row>
    <row r="76" spans="1:56" ht="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84"/>
      <c r="P76" s="88"/>
      <c r="Q76" s="78"/>
      <c r="R76" s="78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BA76" s="11"/>
      <c r="BB76" s="21"/>
      <c r="BC76" s="8"/>
      <c r="BD76" s="2"/>
    </row>
    <row r="77" spans="1:56" ht="1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84"/>
      <c r="P77" s="86"/>
      <c r="Q77" s="78"/>
      <c r="R77" s="78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BA77" s="11"/>
      <c r="BB77" s="8"/>
      <c r="BC77" s="8"/>
      <c r="BD77" s="2"/>
    </row>
    <row r="78" spans="1:56" ht="1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89"/>
      <c r="P78" s="86"/>
      <c r="Q78" s="78"/>
      <c r="R78" s="78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BA78" s="2"/>
      <c r="BB78" s="2"/>
      <c r="BC78" s="2"/>
      <c r="BD78" s="2"/>
    </row>
    <row r="79" spans="1:56" ht="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90"/>
      <c r="P79" s="88"/>
      <c r="Q79" s="78"/>
      <c r="R79" s="78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BA79" s="2"/>
      <c r="BB79" s="2"/>
      <c r="BC79" s="2"/>
      <c r="BD79" s="2"/>
    </row>
    <row r="80" spans="1:56" ht="1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89"/>
      <c r="P80" s="86"/>
      <c r="Q80" s="78"/>
      <c r="R80" s="78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BA80" s="2"/>
      <c r="BB80" s="2"/>
      <c r="BC80" s="2"/>
      <c r="BD80" s="2"/>
    </row>
    <row r="81" spans="1:56" ht="1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91"/>
      <c r="P81" s="85"/>
      <c r="Q81" s="78"/>
      <c r="R81" s="78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BA81" s="2"/>
      <c r="BB81" s="2"/>
      <c r="BC81" s="2"/>
      <c r="BD81" s="2"/>
    </row>
    <row r="82" spans="1:56" ht="1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90"/>
      <c r="P82" s="88"/>
      <c r="Q82" s="78"/>
      <c r="R82" s="78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BA82" s="2"/>
      <c r="BB82" s="2"/>
      <c r="BC82" s="2"/>
      <c r="BD82" s="2"/>
    </row>
    <row r="83" spans="1:56" ht="1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89"/>
      <c r="P83" s="86"/>
      <c r="Q83" s="78"/>
      <c r="R83" s="78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BA83" s="2"/>
      <c r="BB83" s="2"/>
      <c r="BC83" s="2"/>
      <c r="BD83" s="2"/>
    </row>
    <row r="84" spans="1:56" ht="18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84"/>
      <c r="P84" s="86"/>
      <c r="Q84" s="78"/>
      <c r="R84" s="78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BA84" s="4" t="s">
        <v>25</v>
      </c>
      <c r="BB84" s="2"/>
      <c r="BC84" s="3" t="s">
        <v>16</v>
      </c>
      <c r="BD84" s="3" t="s">
        <v>17</v>
      </c>
    </row>
    <row r="85" spans="1:56" ht="1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84"/>
      <c r="P85" s="92"/>
      <c r="Q85" s="78"/>
      <c r="R85" s="78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BA85" s="2" t="s">
        <v>56</v>
      </c>
      <c r="BB85" s="8">
        <f>'RO vs. sell at weaning'!S122</f>
        <v>0.88</v>
      </c>
      <c r="BC85" s="22"/>
      <c r="BD85" s="2"/>
    </row>
    <row r="86" spans="1:56" ht="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84"/>
      <c r="P86" s="84"/>
      <c r="Q86" s="78"/>
      <c r="R86" s="78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BA86" s="2" t="s">
        <v>57</v>
      </c>
      <c r="BB86" s="21">
        <f>'RO vs. sell at weaning'!S118</f>
        <v>555</v>
      </c>
      <c r="BC86" s="5">
        <f>(BB85*BB87)-(BB88+BB89)</f>
        <v>459.864</v>
      </c>
      <c r="BD86" s="2"/>
    </row>
    <row r="87" spans="1:56" ht="18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93"/>
      <c r="P87" s="94"/>
      <c r="Q87" s="78"/>
      <c r="R87" s="78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BA87" s="2" t="s">
        <v>58</v>
      </c>
      <c r="BB87" s="21">
        <f>'RO vs. sell at weaning'!S118*(1-'RO vs. sell at weaning'!S119)</f>
        <v>532.8</v>
      </c>
      <c r="BC87" s="5"/>
      <c r="BD87" s="2"/>
    </row>
    <row r="88" spans="1:56" ht="1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84"/>
      <c r="P88" s="95"/>
      <c r="Q88" s="78"/>
      <c r="R88" s="78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BA88" s="2" t="s">
        <v>93</v>
      </c>
      <c r="BB88" s="8">
        <f>'RO vs. sell at weaning'!S120</f>
        <v>6</v>
      </c>
      <c r="BC88" s="5"/>
      <c r="BD88" s="2"/>
    </row>
    <row r="89" spans="1:56" ht="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84"/>
      <c r="P89" s="96"/>
      <c r="Q89" s="78"/>
      <c r="R89" s="78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BA89" s="2" t="s">
        <v>90</v>
      </c>
      <c r="BB89" s="8">
        <f>'RO vs. sell at weaning'!S121</f>
        <v>3</v>
      </c>
      <c r="BC89" s="8"/>
      <c r="BD89" s="2"/>
    </row>
    <row r="90" spans="1:56" ht="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84"/>
      <c r="P90" s="96"/>
      <c r="Q90" s="78"/>
      <c r="R90" s="78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BA90" s="2" t="s">
        <v>23</v>
      </c>
      <c r="BB90" s="8">
        <f>'RO vs. sell at weaning'!S125</f>
        <v>0</v>
      </c>
      <c r="BC90" s="8">
        <f>(BB90*1)</f>
        <v>0</v>
      </c>
      <c r="BD90" s="2"/>
    </row>
    <row r="91" spans="1:56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84"/>
      <c r="P91" s="96"/>
      <c r="Q91" s="78"/>
      <c r="R91" s="78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BA91" s="2" t="s">
        <v>11</v>
      </c>
      <c r="BB91" s="23">
        <f>'RO vs. sell at weaning'!S126</f>
        <v>0.1</v>
      </c>
      <c r="BC91" s="2"/>
      <c r="BD91" s="2"/>
    </row>
    <row r="92" spans="1:56" ht="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84"/>
      <c r="P92" s="96"/>
      <c r="Q92" s="78"/>
      <c r="R92" s="78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BA92" s="2" t="s">
        <v>15</v>
      </c>
      <c r="BB92" s="10">
        <f>(((BB91/365)*BB99)*(BC86+BC101))+(((BB91/365)*BB99*0.5)*(BC93+BC100+BC103+BC105+BC90))</f>
        <v>12.468162328767123</v>
      </c>
      <c r="BC92" s="5">
        <f>BB92</f>
        <v>12.468162328767123</v>
      </c>
      <c r="BD92" s="2"/>
    </row>
    <row r="93" spans="1:56" ht="1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84"/>
      <c r="P93" s="96"/>
      <c r="Q93" s="78"/>
      <c r="R93" s="78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BA93" s="2" t="s">
        <v>0</v>
      </c>
      <c r="BB93" s="8">
        <f>'RO vs. sell at weaning'!S127</f>
        <v>0.06</v>
      </c>
      <c r="BC93" s="5">
        <f>(BB93*BB98)</f>
        <v>40.2975</v>
      </c>
      <c r="BD93" s="2"/>
    </row>
    <row r="94" spans="1:56" ht="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84"/>
      <c r="P94" s="95"/>
      <c r="Q94" s="78"/>
      <c r="R94" s="78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BA94" s="2" t="s">
        <v>38</v>
      </c>
      <c r="BB94" s="21">
        <f>'RO vs. sell at weaning'!S128</f>
        <v>7.5</v>
      </c>
      <c r="BC94" s="2"/>
      <c r="BD94" s="2"/>
    </row>
    <row r="95" spans="1:56" ht="1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84"/>
      <c r="P95" s="95"/>
      <c r="Q95" s="78"/>
      <c r="R95" s="78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BA95" s="11" t="s">
        <v>83</v>
      </c>
      <c r="BB95" s="13">
        <f>((BB111-BB87)*(1-BB106))/BB99</f>
        <v>2.1737100000000003</v>
      </c>
      <c r="BC95" s="2"/>
      <c r="BD95" s="2"/>
    </row>
    <row r="96" spans="1:56" ht="1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84"/>
      <c r="P96" s="95"/>
      <c r="Q96" s="78"/>
      <c r="R96" s="78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BA96" s="11" t="s">
        <v>84</v>
      </c>
      <c r="BB96" s="12">
        <f>((BB111-BB87)/BB99)</f>
        <v>2.195666666666667</v>
      </c>
      <c r="BC96" s="2"/>
      <c r="BD96" s="2"/>
    </row>
    <row r="97" spans="1:56" ht="1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78"/>
      <c r="P97" s="78"/>
      <c r="Q97" s="78"/>
      <c r="R97" s="78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BA97" s="11" t="s">
        <v>13</v>
      </c>
      <c r="BB97" s="24">
        <f>BB94*BB99</f>
        <v>675</v>
      </c>
      <c r="BC97" s="2"/>
      <c r="BD97" s="2"/>
    </row>
    <row r="98" spans="1:56" ht="1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78"/>
      <c r="P98" s="78"/>
      <c r="Q98" s="78"/>
      <c r="R98" s="78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BA98" s="11" t="s">
        <v>12</v>
      </c>
      <c r="BB98" s="24">
        <f>(BB94*BB99)*(1-(BB106*0.5))</f>
        <v>671.625</v>
      </c>
      <c r="BC98" s="2"/>
      <c r="BD98" s="2"/>
    </row>
    <row r="99" spans="1:56" ht="1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78"/>
      <c r="P99" s="78"/>
      <c r="Q99" s="78"/>
      <c r="R99" s="78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BA99" s="2" t="s">
        <v>1</v>
      </c>
      <c r="BB99" s="21">
        <f>'RO vs. sell at weaning'!S129</f>
        <v>90</v>
      </c>
      <c r="BC99" s="2"/>
      <c r="BD99" s="2"/>
    </row>
    <row r="100" spans="1:56" ht="1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78"/>
      <c r="P100" s="78"/>
      <c r="Q100" s="78"/>
      <c r="R100" s="78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BA100" s="2" t="s">
        <v>4</v>
      </c>
      <c r="BB100" s="8">
        <f>'RO vs. sell at weaning'!S130</f>
        <v>0.3</v>
      </c>
      <c r="BC100" s="5">
        <f>(BB99*BB100)*(1-(BB106*0.5))</f>
        <v>26.865</v>
      </c>
      <c r="BD100" s="2"/>
    </row>
    <row r="101" spans="1:56" ht="1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78"/>
      <c r="P101" s="78"/>
      <c r="Q101" s="78"/>
      <c r="R101" s="78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BA101" s="2" t="s">
        <v>5</v>
      </c>
      <c r="BB101" s="8">
        <f>'RO vs. sell at weaning'!S131</f>
        <v>10</v>
      </c>
      <c r="BC101" s="8">
        <f>(BB101*1)</f>
        <v>10</v>
      </c>
      <c r="BD101" s="2"/>
    </row>
    <row r="102" spans="1:56" ht="1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78"/>
      <c r="P102" s="78"/>
      <c r="Q102" s="78"/>
      <c r="R102" s="78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BA102" s="2" t="s">
        <v>2</v>
      </c>
      <c r="BB102" s="23">
        <f>'RO vs. sell at weaning'!S132</f>
        <v>0.16</v>
      </c>
      <c r="BC102" s="2"/>
      <c r="BD102" s="2"/>
    </row>
    <row r="103" spans="1:56" ht="1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78"/>
      <c r="P103" s="78"/>
      <c r="Q103" s="78"/>
      <c r="R103" s="78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BA103" s="2" t="s">
        <v>20</v>
      </c>
      <c r="BB103" s="8">
        <f>'RO vs. sell at weaning'!S133</f>
        <v>25</v>
      </c>
      <c r="BC103" s="5">
        <f>(BB102*BB103)</f>
        <v>4</v>
      </c>
      <c r="BD103" s="2"/>
    </row>
    <row r="104" spans="1:56" ht="1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78"/>
      <c r="P104" s="78"/>
      <c r="Q104" s="78"/>
      <c r="R104" s="78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BA104" s="2" t="s">
        <v>22</v>
      </c>
      <c r="BB104" s="23">
        <f>'RO vs. sell at weaning'!S134</f>
        <v>0.1</v>
      </c>
      <c r="BC104" s="2"/>
      <c r="BD104" s="2"/>
    </row>
    <row r="105" spans="1:56" ht="1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78"/>
      <c r="P105" s="78"/>
      <c r="Q105" s="78"/>
      <c r="R105" s="78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BA105" s="2" t="s">
        <v>21</v>
      </c>
      <c r="BB105" s="8">
        <f>'RO vs. sell at weaning'!S135</f>
        <v>26</v>
      </c>
      <c r="BC105" s="5">
        <f>(BB102*BB104*BB105)</f>
        <v>0.41600000000000004</v>
      </c>
      <c r="BD105" s="2"/>
    </row>
    <row r="106" spans="1:56" ht="1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78"/>
      <c r="P106" s="78"/>
      <c r="Q106" s="78"/>
      <c r="R106" s="78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BA106" s="2" t="s">
        <v>3</v>
      </c>
      <c r="BB106" s="23">
        <v>0.01</v>
      </c>
      <c r="BC106" s="2"/>
      <c r="BD106" s="2"/>
    </row>
    <row r="107" spans="1:56" ht="1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78"/>
      <c r="P107" s="78"/>
      <c r="Q107" s="78"/>
      <c r="R107" s="78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BA107" s="2" t="s">
        <v>63</v>
      </c>
      <c r="BB107" s="23">
        <f>'RO vs. sell at weaning'!S137</f>
        <v>0.00225</v>
      </c>
      <c r="BC107" s="2"/>
      <c r="BD107" s="2"/>
    </row>
    <row r="108" spans="1:56" ht="1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78"/>
      <c r="P108" s="78"/>
      <c r="Q108" s="78"/>
      <c r="R108" s="78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BA108" s="2" t="s">
        <v>8</v>
      </c>
      <c r="BB108" s="27">
        <f>(SUM(BC86:BC116)/BB112)</f>
        <v>0.7933874724694782</v>
      </c>
      <c r="BC108" s="2"/>
      <c r="BD108" s="2"/>
    </row>
    <row r="109" spans="1:56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78"/>
      <c r="P109" s="78"/>
      <c r="Q109" s="78"/>
      <c r="R109" s="78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BA109" s="2" t="s">
        <v>9</v>
      </c>
      <c r="BB109" s="20">
        <f>'RO vs. sell at weaning'!S138</f>
        <v>753</v>
      </c>
      <c r="BC109" s="2"/>
      <c r="BD109" s="2"/>
    </row>
    <row r="110" spans="1:56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78"/>
      <c r="P110" s="78"/>
      <c r="Q110" s="78"/>
      <c r="R110" s="78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BA110" s="2" t="s">
        <v>10</v>
      </c>
      <c r="BB110" s="23">
        <f>'RO vs. sell at weaning'!S139</f>
        <v>0.03</v>
      </c>
      <c r="BC110" s="2"/>
      <c r="BD110" s="2"/>
    </row>
    <row r="111" spans="1:56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78"/>
      <c r="P111" s="78"/>
      <c r="Q111" s="78"/>
      <c r="R111" s="78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BA111" s="2" t="s">
        <v>88</v>
      </c>
      <c r="BB111" s="20">
        <f>(BB109*(1-BB110))</f>
        <v>730.41</v>
      </c>
      <c r="BC111" s="2"/>
      <c r="BD111" s="5"/>
    </row>
    <row r="112" spans="1:56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78"/>
      <c r="P112" s="78"/>
      <c r="Q112" s="78"/>
      <c r="R112" s="78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BA112" s="2" t="s">
        <v>85</v>
      </c>
      <c r="BB112" s="20">
        <f>(BB109*(1-BB110)*(1-BB106))</f>
        <v>723.1058999999999</v>
      </c>
      <c r="BC112" s="2"/>
      <c r="BD112" s="5"/>
    </row>
    <row r="113" spans="1:56" ht="15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76"/>
      <c r="P113" s="76"/>
      <c r="Q113" s="76"/>
      <c r="R113" s="76"/>
      <c r="S113" s="45"/>
      <c r="T113" s="45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BA113" s="2" t="s">
        <v>18</v>
      </c>
      <c r="BB113" s="8">
        <f>'RO vs. sell at weaning'!S140</f>
        <v>1</v>
      </c>
      <c r="BC113" s="5">
        <f>(BB113*1)*(1-BB106)</f>
        <v>0.99</v>
      </c>
      <c r="BD113" s="2"/>
    </row>
    <row r="114" spans="1:56" ht="21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9" t="s">
        <v>110</v>
      </c>
      <c r="P114" s="59"/>
      <c r="Q114" s="59"/>
      <c r="R114" s="59"/>
      <c r="S114" s="59"/>
      <c r="T114" s="45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BA114" s="2" t="s">
        <v>92</v>
      </c>
      <c r="BB114" s="8">
        <f>'RO vs. sell at weaning'!S142</f>
        <v>3.5</v>
      </c>
      <c r="BC114" s="5">
        <f>BB114*(1-BB106)</f>
        <v>3.465</v>
      </c>
      <c r="BD114" s="2"/>
    </row>
    <row r="115" spans="1:56" ht="12.75" hidden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76"/>
      <c r="P115" s="76"/>
      <c r="Q115" s="76"/>
      <c r="R115" s="76"/>
      <c r="S115" s="45"/>
      <c r="T115" s="45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BA115" s="2" t="s">
        <v>67</v>
      </c>
      <c r="BB115" s="8">
        <f>'RO vs. sell at weaning'!S143</f>
        <v>150</v>
      </c>
      <c r="BC115" s="5">
        <f>BB115*BB107</f>
        <v>0.33749999999999997</v>
      </c>
      <c r="BD115" s="2"/>
    </row>
    <row r="116" spans="1:56" ht="21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98" t="s">
        <v>103</v>
      </c>
      <c r="P116" s="98"/>
      <c r="Q116" s="98"/>
      <c r="R116" s="98"/>
      <c r="S116" s="98"/>
      <c r="T116" s="45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BA116" s="2" t="s">
        <v>6</v>
      </c>
      <c r="BB116" s="8">
        <f>'RO vs. sell at weaning'!S141</f>
        <v>15</v>
      </c>
      <c r="BC116" s="5">
        <f>(BB116*1)</f>
        <v>15</v>
      </c>
      <c r="BD116" s="2"/>
    </row>
    <row r="117" spans="1:56" ht="21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97" t="s">
        <v>26</v>
      </c>
      <c r="P117" s="97"/>
      <c r="Q117" s="97"/>
      <c r="R117" s="97"/>
      <c r="S117" s="97"/>
      <c r="T117" s="45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BA117" s="11" t="s">
        <v>19</v>
      </c>
      <c r="BB117" s="26">
        <f>SUM(BC90:BC115)/(BB111-BB87)</f>
        <v>0.5001728775303229</v>
      </c>
      <c r="BC117" s="5"/>
      <c r="BD117" s="2"/>
    </row>
    <row r="118" spans="1:56" ht="26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68" t="s">
        <v>45</v>
      </c>
      <c r="P118" s="45"/>
      <c r="Q118" s="2"/>
      <c r="R118" s="2"/>
      <c r="S118" s="34">
        <v>555</v>
      </c>
      <c r="T118" s="45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BA118" s="11" t="s">
        <v>37</v>
      </c>
      <c r="BB118" s="26">
        <f>SUM(BC90:BC115)/((BB111-BB87)*(1-BB106))</f>
        <v>0.505225128818508</v>
      </c>
      <c r="BC118" s="5"/>
      <c r="BD118" s="2"/>
    </row>
    <row r="119" spans="1:56" ht="1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68" t="s">
        <v>106</v>
      </c>
      <c r="P119" s="45"/>
      <c r="Q119" s="2"/>
      <c r="R119" s="2"/>
      <c r="S119" s="39">
        <v>0.04</v>
      </c>
      <c r="T119" s="45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BA119" s="11" t="s">
        <v>39</v>
      </c>
      <c r="BB119" s="18">
        <f>BB97/(BB111-BB87)</f>
        <v>3.415819037498102</v>
      </c>
      <c r="BC119" s="5"/>
      <c r="BD119" s="2"/>
    </row>
    <row r="120" spans="1:56" ht="1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68" t="s">
        <v>50</v>
      </c>
      <c r="P120" s="45"/>
      <c r="Q120" s="2"/>
      <c r="R120" s="2"/>
      <c r="S120" s="31">
        <v>6</v>
      </c>
      <c r="T120" s="45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BA120" s="11" t="s">
        <v>40</v>
      </c>
      <c r="BB120" s="18">
        <f>BB98/(BB111-BB87)</f>
        <v>3.3987399423106117</v>
      </c>
      <c r="BC120" s="5"/>
      <c r="BD120" s="2"/>
    </row>
    <row r="121" spans="1:56" ht="1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68" t="s">
        <v>90</v>
      </c>
      <c r="P121" s="45"/>
      <c r="Q121" s="2"/>
      <c r="R121" s="2"/>
      <c r="S121" s="31">
        <v>3</v>
      </c>
      <c r="T121" s="45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BA121" s="2"/>
      <c r="BB121" s="2"/>
      <c r="BC121" s="2"/>
      <c r="BD121" s="2"/>
    </row>
    <row r="122" spans="1:56" ht="1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68" t="s">
        <v>48</v>
      </c>
      <c r="P122" s="45"/>
      <c r="Q122" s="2"/>
      <c r="R122" s="2"/>
      <c r="S122" s="31">
        <v>0.88</v>
      </c>
      <c r="T122" s="45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BA122" s="2" t="s">
        <v>95</v>
      </c>
      <c r="BB122" s="2"/>
      <c r="BC122" s="2"/>
      <c r="BD122" s="2"/>
    </row>
    <row r="123" spans="1:56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45"/>
      <c r="P123" s="45"/>
      <c r="Q123" s="2"/>
      <c r="R123" s="2"/>
      <c r="S123" s="72"/>
      <c r="T123" s="45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BA123" s="2" t="s">
        <v>7</v>
      </c>
      <c r="BB123" s="2"/>
      <c r="BC123" s="2"/>
      <c r="BD123" s="2"/>
    </row>
    <row r="124" spans="1:56" ht="19.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67" t="s">
        <v>46</v>
      </c>
      <c r="P124" s="67"/>
      <c r="Q124" s="2"/>
      <c r="R124" s="2"/>
      <c r="S124" s="72"/>
      <c r="T124" s="45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BD124" s="2"/>
    </row>
    <row r="125" spans="1:46" ht="1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68" t="s">
        <v>78</v>
      </c>
      <c r="P125" s="45"/>
      <c r="Q125" s="2"/>
      <c r="R125" s="2"/>
      <c r="S125" s="31">
        <v>0</v>
      </c>
      <c r="T125" s="45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</row>
    <row r="126" spans="1:46" ht="1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68" t="s">
        <v>79</v>
      </c>
      <c r="P126" s="45"/>
      <c r="Q126" s="2"/>
      <c r="R126" s="2"/>
      <c r="S126" s="32">
        <v>0.1</v>
      </c>
      <c r="T126" s="45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</row>
    <row r="127" spans="1:46" ht="1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68" t="s">
        <v>80</v>
      </c>
      <c r="P127" s="45"/>
      <c r="Q127" s="2"/>
      <c r="R127" s="2"/>
      <c r="S127" s="33">
        <v>0.06</v>
      </c>
      <c r="T127" s="45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</row>
    <row r="128" spans="1:46" ht="1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68" t="s">
        <v>75</v>
      </c>
      <c r="P128" s="45"/>
      <c r="Q128" s="2"/>
      <c r="R128" s="2"/>
      <c r="S128" s="34">
        <v>7.5</v>
      </c>
      <c r="T128" s="45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</row>
    <row r="129" spans="1:46" ht="1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68" t="s">
        <v>89</v>
      </c>
      <c r="P129" s="45"/>
      <c r="Q129" s="2"/>
      <c r="R129" s="2"/>
      <c r="S129" s="34">
        <v>90</v>
      </c>
      <c r="T129" s="45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</row>
    <row r="130" spans="1:46" ht="1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68" t="s">
        <v>100</v>
      </c>
      <c r="P130" s="45"/>
      <c r="Q130" s="2"/>
      <c r="R130" s="2"/>
      <c r="S130" s="31">
        <v>0.3</v>
      </c>
      <c r="T130" s="45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</row>
    <row r="131" spans="1:46" ht="4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69" t="s">
        <v>81</v>
      </c>
      <c r="P131" s="45"/>
      <c r="Q131" s="2"/>
      <c r="R131" s="2"/>
      <c r="S131" s="31">
        <v>10</v>
      </c>
      <c r="T131" s="45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</row>
    <row r="132" spans="1:46" ht="1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68" t="s">
        <v>27</v>
      </c>
      <c r="P132" s="45"/>
      <c r="Q132" s="2"/>
      <c r="R132" s="2"/>
      <c r="S132" s="32">
        <v>0.16</v>
      </c>
      <c r="T132" s="45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</row>
    <row r="133" spans="1:46" ht="1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68" t="s">
        <v>28</v>
      </c>
      <c r="P133" s="45"/>
      <c r="Q133" s="2"/>
      <c r="R133" s="2"/>
      <c r="S133" s="31">
        <v>25</v>
      </c>
      <c r="T133" s="45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</row>
    <row r="134" spans="1:46" ht="1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68" t="s">
        <v>82</v>
      </c>
      <c r="P134" s="45"/>
      <c r="Q134" s="2"/>
      <c r="R134" s="2"/>
      <c r="S134" s="32">
        <v>0.1</v>
      </c>
      <c r="T134" s="45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</row>
    <row r="135" spans="1:46" ht="1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70" t="s">
        <v>94</v>
      </c>
      <c r="P135" s="45"/>
      <c r="Q135" s="2"/>
      <c r="R135" s="2"/>
      <c r="S135" s="31">
        <v>26</v>
      </c>
      <c r="T135" s="45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</row>
    <row r="136" spans="1:46" ht="1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71" t="s">
        <v>29</v>
      </c>
      <c r="P136" s="45"/>
      <c r="Q136" s="2"/>
      <c r="R136" s="2"/>
      <c r="S136" s="32">
        <v>0.009</v>
      </c>
      <c r="T136" s="45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</row>
    <row r="137" spans="1:46" ht="1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71" t="s">
        <v>105</v>
      </c>
      <c r="P137" s="41"/>
      <c r="Q137" s="2"/>
      <c r="R137" s="2"/>
      <c r="S137" s="42">
        <f>IF(P137&gt;0,P137,S136*0.25)</f>
        <v>0.00225</v>
      </c>
      <c r="T137" s="45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</row>
    <row r="138" spans="1:46" ht="1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73" t="s">
        <v>31</v>
      </c>
      <c r="P138" s="45"/>
      <c r="Q138" s="2"/>
      <c r="R138" s="2"/>
      <c r="S138" s="34">
        <v>753</v>
      </c>
      <c r="T138" s="45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</row>
    <row r="139" spans="1:46" ht="1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71" t="s">
        <v>32</v>
      </c>
      <c r="P139" s="45"/>
      <c r="Q139" s="2"/>
      <c r="R139" s="2"/>
      <c r="S139" s="32">
        <v>0.03</v>
      </c>
      <c r="T139" s="45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</row>
    <row r="140" spans="1:46" ht="1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70" t="s">
        <v>35</v>
      </c>
      <c r="P140" s="45"/>
      <c r="Q140" s="2"/>
      <c r="R140" s="2"/>
      <c r="S140" s="31">
        <v>1</v>
      </c>
      <c r="T140" s="45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</row>
    <row r="141" spans="1:46" ht="1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68" t="s">
        <v>60</v>
      </c>
      <c r="P141" s="45"/>
      <c r="Q141" s="2"/>
      <c r="R141" s="2"/>
      <c r="S141" s="31">
        <v>15</v>
      </c>
      <c r="T141" s="45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</row>
    <row r="142" spans="1:46" ht="1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68" t="s">
        <v>91</v>
      </c>
      <c r="P142" s="45"/>
      <c r="Q142" s="2"/>
      <c r="R142" s="2"/>
      <c r="S142" s="31">
        <v>3.5</v>
      </c>
      <c r="T142" s="45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</row>
    <row r="143" spans="1:46" ht="1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74" t="s">
        <v>62</v>
      </c>
      <c r="P143" s="45"/>
      <c r="Q143" s="2"/>
      <c r="R143" s="2"/>
      <c r="S143" s="31">
        <v>150</v>
      </c>
      <c r="T143" s="45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</row>
    <row r="144" spans="1:46" ht="18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99" t="s">
        <v>33</v>
      </c>
      <c r="P144" s="100"/>
      <c r="Q144" s="2"/>
      <c r="R144" s="2"/>
      <c r="S144" s="45"/>
      <c r="T144" s="45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</row>
    <row r="145" spans="1:46" ht="1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68" t="s">
        <v>34</v>
      </c>
      <c r="P145" s="45"/>
      <c r="Q145" s="2"/>
      <c r="R145" s="2"/>
      <c r="S145" s="36">
        <f>'RO vs. sell at weaning'!BB92</f>
        <v>12.468162328767123</v>
      </c>
      <c r="T145" s="45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</row>
    <row r="146" spans="1:46" ht="1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68" t="s">
        <v>53</v>
      </c>
      <c r="P146" s="45"/>
      <c r="Q146" s="2"/>
      <c r="R146" s="2"/>
      <c r="S146" s="37">
        <f>'RO vs. sell at weaning'!BB87</f>
        <v>532.8</v>
      </c>
      <c r="T146" s="45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</row>
    <row r="147" spans="1:46" ht="1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68" t="s">
        <v>43</v>
      </c>
      <c r="P147" s="45"/>
      <c r="Q147" s="2"/>
      <c r="R147" s="2"/>
      <c r="S147" s="36">
        <f>'RO vs. sell at weaning'!BC86</f>
        <v>459.864</v>
      </c>
      <c r="T147" s="45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</row>
    <row r="148" spans="1:46" ht="1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68" t="s">
        <v>102</v>
      </c>
      <c r="P148" s="45"/>
      <c r="Q148" s="2"/>
      <c r="R148" s="2"/>
      <c r="S148" s="37">
        <f>'RO vs. sell at weaning'!BB96</f>
        <v>2.195666666666667</v>
      </c>
      <c r="T148" s="45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</row>
    <row r="149" spans="1:46" ht="1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68" t="s">
        <v>98</v>
      </c>
      <c r="P149" s="45"/>
      <c r="Q149" s="2"/>
      <c r="R149" s="2"/>
      <c r="S149" s="37">
        <f>'RO vs. sell at weaning'!BB95</f>
        <v>2.1737100000000003</v>
      </c>
      <c r="T149" s="45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</row>
    <row r="150" spans="1:46" ht="1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68" t="s">
        <v>54</v>
      </c>
      <c r="P150" s="45"/>
      <c r="Q150" s="2"/>
      <c r="R150" s="2"/>
      <c r="S150" s="37">
        <f>'RO vs. sell at weaning'!BB111</f>
        <v>730.41</v>
      </c>
      <c r="T150" s="45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</row>
    <row r="151" spans="1:46" ht="1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68" t="s">
        <v>87</v>
      </c>
      <c r="P151" s="45"/>
      <c r="Q151" s="2"/>
      <c r="R151" s="2"/>
      <c r="S151" s="37">
        <f>'RO vs. sell at weaning'!BB98</f>
        <v>671.625</v>
      </c>
      <c r="T151" s="45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</row>
    <row r="152" spans="1:46" ht="1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68" t="s">
        <v>96</v>
      </c>
      <c r="P152" s="45"/>
      <c r="Q152" s="2"/>
      <c r="R152" s="2"/>
      <c r="S152" s="37">
        <f>'RO vs. sell at weaning'!BB120</f>
        <v>3.3987399423106117</v>
      </c>
      <c r="T152" s="45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</row>
    <row r="153" spans="1:46" ht="1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68" t="s">
        <v>97</v>
      </c>
      <c r="P153" s="45"/>
      <c r="Q153" s="2"/>
      <c r="R153" s="2"/>
      <c r="S153" s="38">
        <f>'RO vs. sell at weaning'!BB118</f>
        <v>0.505225128818508</v>
      </c>
      <c r="T153" s="45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</row>
    <row r="154" spans="1:46" ht="1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68" t="s">
        <v>77</v>
      </c>
      <c r="P154" s="45"/>
      <c r="Q154" s="2"/>
      <c r="R154" s="2"/>
      <c r="S154" s="40">
        <f>'RO vs. sell at weaning'!BB108</f>
        <v>0.7933874724694782</v>
      </c>
      <c r="T154" s="45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</row>
    <row r="155" spans="1:46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45"/>
      <c r="P155" s="45"/>
      <c r="Q155" s="2"/>
      <c r="R155" s="2"/>
      <c r="S155" s="45"/>
      <c r="T155" s="45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</row>
    <row r="156" spans="1:46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45"/>
      <c r="P156" s="45"/>
      <c r="Q156" s="2"/>
      <c r="R156" s="2"/>
      <c r="S156" s="45"/>
      <c r="T156" s="45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</row>
    <row r="157" spans="1:46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45"/>
      <c r="P157" s="45"/>
      <c r="Q157" s="2"/>
      <c r="R157" s="2"/>
      <c r="S157" s="45"/>
      <c r="T157" s="45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</row>
    <row r="158" spans="1:46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76"/>
      <c r="P158" s="76"/>
      <c r="Q158" s="2"/>
      <c r="R158" s="2"/>
      <c r="S158" s="45"/>
      <c r="T158" s="45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</row>
    <row r="159" spans="1:46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76"/>
      <c r="P159" s="76"/>
      <c r="Q159" s="2"/>
      <c r="R159" s="2"/>
      <c r="S159" s="45"/>
      <c r="T159" s="45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</row>
    <row r="160" spans="1:46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76"/>
      <c r="P160" s="76"/>
      <c r="Q160" s="2"/>
      <c r="R160" s="2"/>
      <c r="S160" s="45"/>
      <c r="T160" s="45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</row>
    <row r="161" spans="1:46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78"/>
      <c r="P161" s="78"/>
      <c r="Q161" s="78"/>
      <c r="R161" s="78"/>
      <c r="S161" s="57" t="s">
        <v>107</v>
      </c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</row>
    <row r="162" spans="1:46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78"/>
      <c r="P162" s="78"/>
      <c r="Q162" s="78"/>
      <c r="R162" s="78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</row>
    <row r="163" spans="1:46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78"/>
      <c r="P163" s="78"/>
      <c r="Q163" s="78"/>
      <c r="R163" s="78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</row>
    <row r="164" spans="1:46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78"/>
      <c r="P164" s="78"/>
      <c r="Q164" s="78"/>
      <c r="R164" s="78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</row>
    <row r="165" spans="1:46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78"/>
      <c r="P165" s="78"/>
      <c r="Q165" s="78"/>
      <c r="R165" s="78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</row>
    <row r="166" spans="1:46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78"/>
      <c r="P166" s="78"/>
      <c r="Q166" s="78"/>
      <c r="R166" s="78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</row>
    <row r="167" spans="1:46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78"/>
      <c r="P167" s="78"/>
      <c r="Q167" s="78"/>
      <c r="R167" s="78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</row>
    <row r="168" spans="1:46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78"/>
      <c r="P168" s="78"/>
      <c r="Q168" s="78"/>
      <c r="R168" s="78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</row>
    <row r="169" spans="1:46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78"/>
      <c r="P169" s="78"/>
      <c r="Q169" s="78"/>
      <c r="R169" s="78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</row>
    <row r="170" spans="1:46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78"/>
      <c r="P170" s="78"/>
      <c r="Q170" s="78"/>
      <c r="R170" s="78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</row>
    <row r="171" spans="1:46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78"/>
      <c r="P171" s="78"/>
      <c r="Q171" s="78"/>
      <c r="R171" s="78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</row>
    <row r="172" spans="1:46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78"/>
      <c r="P172" s="78"/>
      <c r="Q172" s="78"/>
      <c r="R172" s="78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</row>
    <row r="173" spans="1:46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78"/>
      <c r="P173" s="78"/>
      <c r="Q173" s="78"/>
      <c r="R173" s="78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</row>
    <row r="174" spans="1:46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78"/>
      <c r="P174" s="78"/>
      <c r="Q174" s="78"/>
      <c r="R174" s="78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</row>
    <row r="175" spans="1:46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78"/>
      <c r="P175" s="78"/>
      <c r="Q175" s="78"/>
      <c r="R175" s="78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</row>
    <row r="176" spans="1:46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78"/>
      <c r="P176" s="78"/>
      <c r="Q176" s="78"/>
      <c r="R176" s="78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</row>
    <row r="177" spans="1:46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78"/>
      <c r="P177" s="78"/>
      <c r="Q177" s="78"/>
      <c r="R177" s="78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</row>
    <row r="178" spans="1:46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78"/>
      <c r="P178" s="78"/>
      <c r="Q178" s="78"/>
      <c r="R178" s="78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</row>
    <row r="179" spans="1:46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78"/>
      <c r="P179" s="78"/>
      <c r="Q179" s="78"/>
      <c r="R179" s="78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</row>
    <row r="180" spans="1:46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78"/>
      <c r="P180" s="78"/>
      <c r="Q180" s="78"/>
      <c r="R180" s="78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</row>
    <row r="181" spans="1:46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78"/>
      <c r="P181" s="78"/>
      <c r="Q181" s="78"/>
      <c r="R181" s="78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</row>
    <row r="182" spans="1:46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78"/>
      <c r="P182" s="78"/>
      <c r="Q182" s="78"/>
      <c r="R182" s="78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</row>
    <row r="183" spans="1:46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78"/>
      <c r="P183" s="78"/>
      <c r="Q183" s="78"/>
      <c r="R183" s="78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</row>
    <row r="184" spans="1:46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78"/>
      <c r="P184" s="78"/>
      <c r="Q184" s="78"/>
      <c r="R184" s="78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</row>
    <row r="185" spans="1:46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78"/>
      <c r="P185" s="78"/>
      <c r="Q185" s="78"/>
      <c r="R185" s="78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</row>
    <row r="186" spans="1:46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78"/>
      <c r="P186" s="78"/>
      <c r="Q186" s="78"/>
      <c r="R186" s="78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</row>
    <row r="187" spans="1:46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78"/>
      <c r="P187" s="78"/>
      <c r="Q187" s="78"/>
      <c r="R187" s="78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</row>
    <row r="188" spans="1:46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78"/>
      <c r="P188" s="78"/>
      <c r="Q188" s="78"/>
      <c r="R188" s="78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</row>
    <row r="189" spans="1:46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78"/>
      <c r="P189" s="78"/>
      <c r="Q189" s="78"/>
      <c r="R189" s="78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</row>
    <row r="190" spans="1:46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78"/>
      <c r="P190" s="78"/>
      <c r="Q190" s="78"/>
      <c r="R190" s="78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</row>
    <row r="191" spans="1:46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78"/>
      <c r="P191" s="78"/>
      <c r="Q191" s="78"/>
      <c r="R191" s="78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</row>
    <row r="192" spans="1:46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78"/>
      <c r="R192" s="78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</row>
    <row r="193" spans="1:46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</row>
    <row r="194" spans="1:46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</row>
    <row r="195" spans="1:46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</row>
    <row r="196" spans="1:46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</row>
    <row r="197" spans="1:46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</row>
    <row r="198" spans="1:46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</row>
    <row r="199" spans="1:46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</row>
    <row r="200" spans="1:46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</row>
    <row r="201" spans="1:46" ht="12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</row>
    <row r="202" spans="1:46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</row>
    <row r="203" spans="1:46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</row>
    <row r="204" spans="1:46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</row>
    <row r="205" spans="1:46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</row>
    <row r="206" spans="1:46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</row>
    <row r="207" spans="1:46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</row>
    <row r="208" spans="1:46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</row>
    <row r="209" spans="1:46" ht="12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</row>
    <row r="210" spans="14:46" ht="12.75"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</row>
    <row r="211" spans="15:46" ht="12.75"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</row>
    <row r="212" spans="15:46" ht="12.75"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</row>
    <row r="213" spans="15:46" ht="12.75"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</row>
    <row r="214" spans="15:46" ht="12.75"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</row>
    <row r="215" spans="15:46" ht="12.75"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</row>
    <row r="216" spans="15:46" ht="12.75"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</row>
    <row r="217" spans="15:46" ht="12.75"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</row>
    <row r="218" spans="15:46" ht="12.75"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</row>
    <row r="219" spans="15:46" ht="12.75"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</row>
    <row r="220" spans="15:46" ht="12.75"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</row>
    <row r="221" spans="15:46" ht="12.75"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</row>
    <row r="222" spans="15:46" ht="12.75"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</row>
    <row r="223" spans="15:46" ht="12.75"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</row>
    <row r="224" spans="15:46" ht="12.75"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</row>
    <row r="225" spans="15:46" ht="12.75"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</row>
    <row r="226" spans="15:46" ht="12.75"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</row>
    <row r="227" spans="15:46" ht="12.75"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</row>
    <row r="228" spans="15:46" ht="12.75"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</row>
    <row r="229" spans="15:46" ht="12.75"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</row>
    <row r="230" spans="15:46" ht="12.75"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</row>
    <row r="231" spans="15:46" ht="12.75"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</row>
    <row r="232" spans="15:46" ht="12.75"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</row>
    <row r="233" spans="15:46" ht="12.75"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</row>
    <row r="234" spans="15:46" ht="12.75"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</row>
    <row r="235" spans="15:46" ht="12.75"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</row>
    <row r="236" spans="15:46" ht="12.75"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</row>
    <row r="237" spans="15:46" ht="12.75"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</row>
    <row r="238" spans="15:46" ht="12.75"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</row>
    <row r="239" spans="15:46" ht="12.75"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</row>
    <row r="240" spans="15:46" ht="12.75"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</row>
    <row r="241" spans="15:46" ht="12.75"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</row>
    <row r="242" spans="15:46" ht="12.75"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</row>
    <row r="243" spans="15:46" ht="12.75"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</row>
    <row r="244" spans="15:46" ht="12.75"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</row>
    <row r="245" spans="15:46" ht="12.75"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</row>
    <row r="246" spans="15:46" ht="12.75"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</row>
    <row r="247" spans="15:46" ht="12.75"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</row>
    <row r="248" spans="15:46" ht="12.75"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</row>
    <row r="249" spans="15:46" ht="12.75"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</row>
    <row r="250" spans="15:46" ht="12.75"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</row>
    <row r="251" spans="15:46" ht="12.75"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</row>
    <row r="252" spans="15:46" ht="12.75"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</row>
    <row r="253" spans="15:46" ht="12.75"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</row>
    <row r="254" spans="15:46" ht="12.75"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</row>
    <row r="255" spans="15:46" ht="12.75"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</row>
    <row r="256" spans="15:46" ht="12.75"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</row>
    <row r="257" spans="15:46" ht="12.75"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</row>
    <row r="258" spans="15:46" ht="12.75"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</row>
    <row r="259" spans="15:46" ht="12.75"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</row>
    <row r="260" spans="15:46" ht="12.75"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</row>
    <row r="261" spans="15:46" ht="12.75"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</row>
    <row r="262" spans="15:46" ht="12.75"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</row>
    <row r="263" spans="15:46" ht="12.75"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</row>
    <row r="264" spans="15:46" ht="12.75"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</row>
    <row r="265" spans="15:46" ht="12.75"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</row>
    <row r="266" spans="15:46" ht="12.75"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</row>
    <row r="267" spans="15:46" ht="12.75"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</row>
    <row r="268" spans="15:46" ht="12.75"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</row>
    <row r="269" spans="15:46" ht="12.75"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</row>
    <row r="270" spans="15:46" ht="12.75"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</row>
    <row r="271" spans="15:46" ht="12.75"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</row>
    <row r="272" spans="15:46" ht="12.75"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</row>
    <row r="273" spans="15:46" ht="12.75"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</row>
    <row r="274" spans="15:46" ht="12.75"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</row>
    <row r="275" spans="15:46" ht="12.75"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</row>
    <row r="276" spans="15:46" ht="12.75"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</row>
    <row r="277" spans="15:46" ht="12.75"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</row>
    <row r="278" spans="15:46" ht="12.75"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</row>
    <row r="279" spans="15:46" ht="12.75"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</row>
    <row r="280" spans="15:46" ht="12.75"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</row>
    <row r="281" spans="15:46" ht="12.75"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</row>
    <row r="282" spans="15:46" ht="12.75"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</row>
    <row r="283" spans="15:46" ht="12.75"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</row>
    <row r="284" spans="15:46" ht="12.75"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</row>
    <row r="285" spans="15:46" ht="12.75"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</row>
    <row r="286" spans="15:46" ht="12.75"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</row>
    <row r="287" spans="15:46" ht="12.75"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</row>
    <row r="288" spans="15:46" ht="12.75"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</row>
    <row r="289" spans="15:46" ht="12.75"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</row>
    <row r="290" spans="15:46" ht="12.75"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</row>
    <row r="291" spans="15:46" ht="12.75"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</row>
    <row r="292" spans="15:46" ht="12.75"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</row>
    <row r="293" spans="15:46" ht="12.75"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</row>
    <row r="294" spans="15:46" ht="12.75"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</row>
    <row r="295" spans="15:46" ht="12.75"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</row>
    <row r="296" spans="15:46" ht="12.75"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</row>
    <row r="297" spans="15:46" ht="12.75"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</row>
    <row r="298" spans="15:46" ht="12.75"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</row>
    <row r="299" spans="15:46" ht="12.75"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</row>
    <row r="300" spans="15:46" ht="12.75"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</row>
    <row r="301" spans="15:46" ht="12.75"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</row>
    <row r="302" spans="15:46" ht="12.75"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</row>
    <row r="303" spans="15:46" ht="12.75"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</row>
    <row r="304" spans="15:46" ht="12.75"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</row>
    <row r="305" spans="15:46" ht="12.75"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</row>
    <row r="306" spans="15:46" ht="12.75"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</row>
    <row r="307" spans="15:46" ht="12.75"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</row>
    <row r="308" spans="15:46" ht="12.75"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</row>
    <row r="309" spans="15:46" ht="12.75"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</row>
    <row r="310" spans="15:46" ht="12.75"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</row>
    <row r="311" spans="15:46" ht="12.75"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</row>
    <row r="312" spans="15:46" ht="12.75"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</row>
    <row r="313" spans="15:46" ht="12.75"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</row>
    <row r="314" spans="15:46" ht="12.75"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</row>
    <row r="315" spans="15:46" ht="12.75"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</row>
    <row r="316" spans="15:46" ht="12.75"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</row>
    <row r="317" spans="15:46" ht="12.75"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</row>
    <row r="318" spans="15:46" ht="12.75"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</row>
    <row r="319" spans="15:46" ht="12.75"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</row>
    <row r="320" spans="15:46" ht="12.75"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</row>
    <row r="321" spans="15:46" ht="12.75"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</row>
    <row r="322" spans="15:46" ht="12.75"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</row>
    <row r="323" spans="15:46" ht="12.75"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</row>
    <row r="324" spans="15:46" ht="12.75"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</row>
    <row r="325" spans="15:46" ht="12.75"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</row>
    <row r="326" spans="15:46" ht="12.75"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</row>
    <row r="327" spans="15:46" ht="12.75"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</row>
    <row r="328" spans="15:46" ht="12.75"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</row>
    <row r="329" spans="15:46" ht="12.75"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</row>
    <row r="330" spans="15:46" ht="12.75"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</row>
    <row r="331" spans="15:46" ht="12.75"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</row>
    <row r="332" spans="15:46" ht="12.75"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</row>
    <row r="333" spans="15:46" ht="12.75"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</row>
    <row r="334" spans="15:46" ht="12.75"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</row>
    <row r="335" spans="15:46" ht="12.75"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</row>
    <row r="336" spans="15:46" ht="12.75"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</row>
    <row r="337" spans="15:46" ht="12.75"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</row>
    <row r="338" spans="15:46" ht="12.75"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</row>
    <row r="339" spans="15:46" ht="12.75"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</row>
    <row r="340" spans="15:46" ht="12.75"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</row>
    <row r="341" spans="15:46" ht="12.75"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</row>
    <row r="342" spans="15:46" ht="12.75"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</row>
    <row r="343" spans="15:46" ht="12.75"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</row>
    <row r="344" spans="15:46" ht="12.75"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</row>
    <row r="345" spans="15:46" ht="12.75"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</row>
    <row r="346" spans="15:46" ht="12.75"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</row>
    <row r="347" spans="15:46" ht="12.75"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</row>
    <row r="348" spans="15:46" ht="12.75"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</row>
    <row r="349" spans="15:46" ht="12.75"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</row>
    <row r="350" spans="15:46" ht="12.75"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</row>
    <row r="351" spans="15:46" ht="12.75"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</row>
    <row r="352" spans="15:46" ht="12.75"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</row>
    <row r="353" spans="15:46" ht="12.75"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</row>
    <row r="354" spans="15:46" ht="12.75"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</row>
    <row r="355" spans="15:46" ht="12.75"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</row>
    <row r="356" spans="15:46" ht="12.75"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</row>
    <row r="357" spans="15:46" ht="12.75"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</row>
    <row r="358" spans="15:46" ht="12.75"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</row>
    <row r="359" spans="15:46" ht="12.75"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</row>
    <row r="360" spans="15:46" ht="12.75"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</row>
    <row r="361" spans="15:46" ht="12.75"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</row>
    <row r="362" spans="15:46" ht="12.75"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</row>
    <row r="363" spans="15:46" ht="12.75"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</row>
    <row r="364" spans="15:46" ht="12.75"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</row>
    <row r="365" spans="15:46" ht="12.75"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</row>
    <row r="366" spans="15:46" ht="12.75"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</row>
    <row r="367" spans="15:46" ht="12.75"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</row>
    <row r="368" spans="15:46" ht="12.75"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</row>
    <row r="369" spans="15:46" ht="12.75"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</row>
    <row r="370" spans="15:46" ht="12.75"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</row>
    <row r="371" spans="15:46" ht="12.75"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</row>
    <row r="372" spans="15:46" ht="12.75"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</row>
    <row r="373" spans="15:46" ht="12.75"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</row>
    <row r="374" spans="15:46" ht="12.75"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</row>
    <row r="375" spans="15:46" ht="12.75"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</row>
    <row r="376" spans="15:46" ht="12.75"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</row>
    <row r="377" spans="15:46" ht="12.75"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</row>
    <row r="378" spans="15:46" ht="12.75"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</row>
    <row r="379" spans="15:46" ht="12.75"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</row>
    <row r="380" spans="15:46" ht="12.75"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</row>
    <row r="381" spans="15:46" ht="12.75"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</row>
    <row r="382" spans="15:46" ht="12.75"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</row>
    <row r="383" spans="15:46" ht="12.75"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</row>
    <row r="384" spans="15:46" ht="12.75"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</row>
    <row r="385" spans="15:46" ht="12.75"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</row>
    <row r="386" spans="15:46" ht="12.75"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</row>
    <row r="387" spans="15:46" ht="12.75"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</row>
    <row r="388" spans="15:46" ht="12.75"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</row>
    <row r="389" spans="15:46" ht="12.75"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</row>
    <row r="390" spans="15:46" ht="12.75"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</row>
    <row r="391" spans="15:46" ht="12.75"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</row>
    <row r="392" spans="15:46" ht="12.75"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</row>
    <row r="393" spans="15:46" ht="12.75"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</row>
    <row r="394" spans="15:46" ht="12.75"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</row>
    <row r="395" spans="15:46" ht="12.75"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</row>
    <row r="396" spans="15:46" ht="12.75"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</row>
    <row r="397" spans="15:46" ht="12.75"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</row>
    <row r="398" spans="15:46" ht="12.75"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</row>
    <row r="399" spans="15:46" ht="12.75"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</row>
    <row r="400" spans="15:46" ht="12.75"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</row>
    <row r="401" spans="15:46" ht="12.75"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</row>
    <row r="402" spans="15:46" ht="12.75"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</row>
    <row r="403" spans="15:46" ht="12.75"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</row>
    <row r="404" spans="15:46" ht="12.75"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</row>
    <row r="405" spans="15:46" ht="12.75"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</row>
    <row r="406" spans="15:46" ht="12.75"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</row>
    <row r="407" spans="15:46" ht="12.75"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</row>
    <row r="408" spans="15:46" ht="12.75"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</row>
    <row r="409" spans="15:46" ht="12.75"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</row>
    <row r="410" spans="15:46" ht="12.75"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</row>
    <row r="411" spans="15:46" ht="12.75"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</row>
    <row r="412" spans="15:46" ht="12.75"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</row>
    <row r="413" spans="15:46" ht="12.75"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</row>
    <row r="414" spans="15:46" ht="12.75"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</row>
    <row r="415" spans="15:46" ht="12.75"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</row>
    <row r="416" spans="15:46" ht="12.75"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</row>
    <row r="417" spans="15:46" ht="12.75"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</row>
    <row r="418" spans="15:46" ht="12.75"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</row>
    <row r="419" spans="15:46" ht="12.75"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</row>
    <row r="420" spans="15:46" ht="12.75"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</row>
    <row r="421" spans="15:46" ht="12.75"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</row>
    <row r="422" spans="15:46" ht="12.75"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</row>
    <row r="423" spans="15:46" ht="12.75"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</row>
    <row r="424" spans="15:46" ht="12.75"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</row>
    <row r="425" spans="15:46" ht="12.75"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</row>
    <row r="426" spans="15:46" ht="12.75"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</row>
    <row r="427" spans="15:46" ht="12.75"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</row>
    <row r="428" spans="15:46" ht="12.75"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</row>
    <row r="429" spans="15:46" ht="12.75"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</row>
    <row r="430" spans="15:46" ht="12.75"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</row>
    <row r="431" spans="15:46" ht="12.75"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</row>
    <row r="432" spans="15:46" ht="12.75"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</row>
    <row r="433" spans="15:46" ht="12.75"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</row>
    <row r="434" spans="15:46" ht="12.75"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</row>
    <row r="435" spans="15:46" ht="12.75"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</row>
    <row r="436" spans="15:46" ht="12.75"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</row>
    <row r="437" spans="15:46" ht="12.75"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</row>
    <row r="438" spans="15:46" ht="12.75"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</row>
    <row r="439" spans="15:46" ht="12.75"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</row>
    <row r="440" spans="15:46" ht="12.75"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</row>
    <row r="441" spans="15:46" ht="12.75"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</row>
    <row r="442" spans="15:46" ht="12.75"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</row>
    <row r="443" spans="15:46" ht="12.75"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</row>
    <row r="444" spans="15:46" ht="12.75"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</row>
    <row r="445" spans="15:46" ht="12.75"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</row>
    <row r="446" spans="15:46" ht="12.75"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</row>
    <row r="447" spans="15:46" ht="12.75"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</row>
    <row r="448" spans="15:46" ht="12.75"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</row>
    <row r="449" spans="15:46" ht="12.75"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</row>
    <row r="450" spans="15:46" ht="12.75"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</row>
    <row r="451" spans="15:46" ht="12.75"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</row>
    <row r="452" spans="15:46" ht="12.75"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</row>
    <row r="453" spans="15:46" ht="12.75"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</row>
    <row r="454" spans="15:46" ht="12.75"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</row>
    <row r="455" spans="15:46" ht="12.75"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</row>
    <row r="456" spans="15:46" ht="12.75"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</row>
    <row r="457" spans="15:20" ht="12.75">
      <c r="O457" s="57"/>
      <c r="P457" s="57"/>
      <c r="Q457" s="57"/>
      <c r="R457" s="57"/>
      <c r="S457" s="57"/>
      <c r="T457" s="57"/>
    </row>
    <row r="458" spans="15:20" ht="12.75">
      <c r="O458" s="57"/>
      <c r="P458" s="57"/>
      <c r="Q458" s="57"/>
      <c r="R458" s="57"/>
      <c r="S458" s="57"/>
      <c r="T458" s="57"/>
    </row>
    <row r="459" spans="15:20" ht="12.75">
      <c r="O459" s="57"/>
      <c r="P459" s="57"/>
      <c r="Q459" s="57"/>
      <c r="R459" s="57"/>
      <c r="S459" s="57"/>
      <c r="T459" s="57"/>
    </row>
    <row r="460" spans="15:20" ht="12.75">
      <c r="O460" s="57"/>
      <c r="P460" s="57"/>
      <c r="Q460" s="57"/>
      <c r="R460" s="57"/>
      <c r="S460" s="57"/>
      <c r="T460" s="57"/>
    </row>
    <row r="461" spans="15:20" ht="12.75">
      <c r="O461" s="57"/>
      <c r="P461" s="57"/>
      <c r="Q461" s="57"/>
      <c r="R461" s="57"/>
      <c r="S461" s="57"/>
      <c r="T461" s="57"/>
    </row>
    <row r="462" spans="15:20" ht="12.75">
      <c r="O462" s="57"/>
      <c r="P462" s="57"/>
      <c r="Q462" s="57"/>
      <c r="R462" s="57"/>
      <c r="S462" s="57"/>
      <c r="T462" s="57"/>
    </row>
    <row r="463" spans="15:20" ht="12.75">
      <c r="O463" s="57"/>
      <c r="P463" s="57"/>
      <c r="Q463" s="57"/>
      <c r="R463" s="57"/>
      <c r="S463" s="57"/>
      <c r="T463" s="57"/>
    </row>
    <row r="464" spans="15:20" ht="12.75">
      <c r="O464" s="57"/>
      <c r="P464" s="57"/>
      <c r="Q464" s="57"/>
      <c r="R464" s="57"/>
      <c r="S464" s="57"/>
      <c r="T464" s="57"/>
    </row>
    <row r="465" spans="15:20" ht="12.75">
      <c r="O465" s="57"/>
      <c r="P465" s="57"/>
      <c r="Q465" s="57"/>
      <c r="R465" s="57"/>
      <c r="S465" s="57"/>
      <c r="T465" s="57"/>
    </row>
    <row r="466" spans="15:20" ht="12.75">
      <c r="O466" s="57"/>
      <c r="P466" s="57"/>
      <c r="Q466" s="57"/>
      <c r="R466" s="57"/>
      <c r="S466" s="57"/>
      <c r="T466" s="57"/>
    </row>
    <row r="467" spans="15:20" ht="12.75">
      <c r="O467" s="57"/>
      <c r="P467" s="57"/>
      <c r="Q467" s="57"/>
      <c r="R467" s="57"/>
      <c r="S467" s="57"/>
      <c r="T467" s="57"/>
    </row>
    <row r="468" spans="15:20" ht="12.75">
      <c r="O468" s="57"/>
      <c r="P468" s="57"/>
      <c r="Q468" s="57"/>
      <c r="R468" s="57"/>
      <c r="S468" s="57"/>
      <c r="T468" s="57"/>
    </row>
    <row r="469" spans="15:20" ht="12.75">
      <c r="O469" s="57"/>
      <c r="P469" s="57"/>
      <c r="Q469" s="57"/>
      <c r="R469" s="57"/>
      <c r="S469" s="57"/>
      <c r="T469" s="57"/>
    </row>
    <row r="470" spans="15:20" ht="12.75">
      <c r="O470" s="57"/>
      <c r="P470" s="57"/>
      <c r="Q470" s="57"/>
      <c r="R470" s="57"/>
      <c r="S470" s="57"/>
      <c r="T470" s="57"/>
    </row>
    <row r="471" spans="15:20" ht="12.75">
      <c r="O471" s="57"/>
      <c r="P471" s="57"/>
      <c r="Q471" s="57"/>
      <c r="R471" s="57"/>
      <c r="S471" s="57"/>
      <c r="T471" s="57"/>
    </row>
    <row r="472" spans="15:20" ht="12.75">
      <c r="O472" s="57"/>
      <c r="P472" s="57"/>
      <c r="Q472" s="57"/>
      <c r="R472" s="57"/>
      <c r="S472" s="57"/>
      <c r="T472" s="57"/>
    </row>
    <row r="473" spans="15:20" ht="12.75">
      <c r="O473" s="57"/>
      <c r="P473" s="57"/>
      <c r="Q473" s="57"/>
      <c r="R473" s="57"/>
      <c r="S473" s="57"/>
      <c r="T473" s="57"/>
    </row>
    <row r="474" spans="15:20" ht="12.75">
      <c r="O474" s="57"/>
      <c r="P474" s="57"/>
      <c r="Q474" s="57"/>
      <c r="R474" s="57"/>
      <c r="S474" s="57"/>
      <c r="T474" s="57"/>
    </row>
    <row r="475" spans="15:20" ht="12.75">
      <c r="O475" s="57"/>
      <c r="P475" s="57"/>
      <c r="Q475" s="57"/>
      <c r="R475" s="57"/>
      <c r="S475" s="57"/>
      <c r="T475" s="57"/>
    </row>
  </sheetData>
  <sheetProtection password="CC65" sheet="1" objects="1" scenarios="1"/>
  <mergeCells count="22">
    <mergeCell ref="O116:S116"/>
    <mergeCell ref="O114:S114"/>
    <mergeCell ref="O1:R1"/>
    <mergeCell ref="O87:P87"/>
    <mergeCell ref="O4:R4"/>
    <mergeCell ref="O65:P65"/>
    <mergeCell ref="O64:R64"/>
    <mergeCell ref="O12:P12"/>
    <mergeCell ref="O6:S6"/>
    <mergeCell ref="O2:S2"/>
    <mergeCell ref="O3:S3"/>
    <mergeCell ref="O68:R68"/>
    <mergeCell ref="O144:P144"/>
    <mergeCell ref="O124:P124"/>
    <mergeCell ref="A6:I6"/>
    <mergeCell ref="O5:R5"/>
    <mergeCell ref="A2:I5"/>
    <mergeCell ref="A8:I8"/>
    <mergeCell ref="A7:I7"/>
    <mergeCell ref="A9:I11"/>
    <mergeCell ref="O66:R66"/>
    <mergeCell ref="O117:S117"/>
  </mergeCells>
  <dataValidations count="4">
    <dataValidation allowBlank="1" showInputMessage="1" showErrorMessage="1" prompt="Re-pull rate = number of pulls of calves that have been treated previously and returned to their home pen / number of initial pulls" sqref="S22 S134"/>
    <dataValidation allowBlank="1" showInputMessage="1" showErrorMessage="1" prompt="Interest rate of borrowed money or if no borrowed money is used, interest rate of alternate investment" sqref="S126 S14"/>
    <dataValidation allowBlank="1" showInputMessage="1" showErrorMessage="1" prompt="Average daily intake over entire feeding period" sqref="S16"/>
    <dataValidation allowBlank="1" showInputMessage="1" showErrorMessage="1" prompt="Prorate the cost of different diets by the percentage of the feeding period each was fed" sqref="S15 S127"/>
  </dataValidations>
  <printOptions/>
  <pageMargins left="0.75" right="0.75" top="1" bottom="1" header="0.5" footer="0.5"/>
  <pageSetup fitToHeight="1" fitToWidth="1" horizontalDpi="300" verticalDpi="300" orientation="portrait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L. Larson</dc:creator>
  <cp:keywords/>
  <dc:description/>
  <cp:lastModifiedBy>rlarson</cp:lastModifiedBy>
  <cp:lastPrinted>2001-02-26T20:06:21Z</cp:lastPrinted>
  <dcterms:created xsi:type="dcterms:W3CDTF">1999-02-22T23:08:55Z</dcterms:created>
  <dcterms:modified xsi:type="dcterms:W3CDTF">2006-07-25T13:57:48Z</dcterms:modified>
  <cp:category/>
  <cp:version/>
  <cp:contentType/>
  <cp:contentStatus/>
</cp:coreProperties>
</file>