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25" windowHeight="8790" activeTab="0"/>
  </bookViews>
  <sheets>
    <sheet name="Feeder Calculations" sheetId="1" r:id="rId1"/>
  </sheets>
  <definedNames>
    <definedName name="_xlnm.Print_Area" localSheetId="0">'Feeder Calculations'!$O$105:$P$140</definedName>
  </definedNames>
  <calcPr fullCalcOnLoad="1"/>
</workbook>
</file>

<file path=xl/comments1.xml><?xml version="1.0" encoding="utf-8"?>
<comments xmlns="http://schemas.openxmlformats.org/spreadsheetml/2006/main">
  <authors>
    <author>Bob L. Larson, DVM, PhD, ACT</author>
  </authors>
  <commentList>
    <comment ref="P20" authorId="0">
      <text>
        <r>
          <rPr>
            <b/>
            <sz val="8"/>
            <color indexed="12"/>
            <rFont val="Tahoma"/>
            <family val="2"/>
          </rPr>
          <t>Assumed to be equal to 1/4 the mortality rate</t>
        </r>
      </text>
    </comment>
    <comment ref="P70" authorId="0">
      <text>
        <r>
          <rPr>
            <b/>
            <sz val="8"/>
            <color indexed="12"/>
            <rFont val="Tahoma"/>
            <family val="2"/>
          </rPr>
          <t>Assumed to equal 1/4 the mortality rate</t>
        </r>
      </text>
    </comment>
    <comment ref="P125" authorId="0">
      <text>
        <r>
          <rPr>
            <b/>
            <sz val="8"/>
            <color indexed="12"/>
            <rFont val="Tahoma"/>
            <family val="2"/>
          </rPr>
          <t>Assumed equal to 1/4 the mortality rate</t>
        </r>
      </text>
    </comment>
  </commentList>
</comments>
</file>

<file path=xl/sharedStrings.xml><?xml version="1.0" encoding="utf-8"?>
<sst xmlns="http://schemas.openxmlformats.org/spreadsheetml/2006/main" count="218" uniqueCount="101">
  <si>
    <t>Days Owned</t>
  </si>
  <si>
    <t>Morbidity rate</t>
  </si>
  <si>
    <t>Mortality rate</t>
  </si>
  <si>
    <t>Pasture rent / yardage per head</t>
  </si>
  <si>
    <t>Processing product cost per head</t>
  </si>
  <si>
    <t>Return to labor and management</t>
  </si>
  <si>
    <t>Chage 50% interest rate on feed, yardage, cost of treatment, labor, and cost of re-treatment</t>
  </si>
  <si>
    <t>Weight in pounds at purchase</t>
  </si>
  <si>
    <t>Price received at sale</t>
  </si>
  <si>
    <t>Sale weight in pounds (w/o shrink)</t>
  </si>
  <si>
    <t>Percent shrink</t>
  </si>
  <si>
    <t>Price paid per pound at purchase ($)</t>
  </si>
  <si>
    <t>Shrunk sale weight (CALCULATED)</t>
  </si>
  <si>
    <t>Cost of interest (CALCULATED)</t>
  </si>
  <si>
    <t>Costs</t>
  </si>
  <si>
    <t>Reciepts</t>
  </si>
  <si>
    <t>Sales or commission fees</t>
  </si>
  <si>
    <t>Cost of Gain (CALCULATED: $ / lbs. gain)</t>
  </si>
  <si>
    <t>Cost of treatment /head /treatment</t>
  </si>
  <si>
    <t>Cost of re-treatment /head /re-treatment</t>
  </si>
  <si>
    <t>Re-pull rate (# pulled 2 or more times/# initial pulls)</t>
  </si>
  <si>
    <t>Calculate for Purchase Price</t>
  </si>
  <si>
    <t>Price paid per pound ($)</t>
  </si>
  <si>
    <t>Purchase weight (Lbs.)</t>
  </si>
  <si>
    <t>Days owned</t>
  </si>
  <si>
    <t>Please Answer All of the Following Questions (Per Head Basis)</t>
  </si>
  <si>
    <t>Morbidity Rate (%)</t>
  </si>
  <si>
    <t>Mortality rate (%)</t>
  </si>
  <si>
    <t>Price received at sale ($/Lbs.)</t>
  </si>
  <si>
    <t>Unshrunk sale weight (Lbs.)</t>
  </si>
  <si>
    <t>Percent shrink (%)</t>
  </si>
  <si>
    <t>Given the Above Variables</t>
  </si>
  <si>
    <t>Cost of interest</t>
  </si>
  <si>
    <t>Average Daily Gain (Deads In)</t>
  </si>
  <si>
    <t>Average Daily Gain (Deads Out)</t>
  </si>
  <si>
    <t>Appropriate Purchase Price</t>
  </si>
  <si>
    <t>Sales or commission fees ($)</t>
  </si>
  <si>
    <t>Re-pull rate (%)</t>
  </si>
  <si>
    <t>Re-pull rate  (%)</t>
  </si>
  <si>
    <t>Feeder Cattle Calculations</t>
  </si>
  <si>
    <t>Yardage per day ($)</t>
  </si>
  <si>
    <t>Cost of Gain (Deads In)</t>
  </si>
  <si>
    <t>Cost of interest (estimated)</t>
  </si>
  <si>
    <t>Cost of Gain - Deads In</t>
  </si>
  <si>
    <t>Feed Efficiency (Deads Out)</t>
  </si>
  <si>
    <t>Feed Efficiency (Deads In)</t>
  </si>
  <si>
    <t>Feed Efficiency (Shrunk sale wt. - Deads Out)</t>
  </si>
  <si>
    <t>Feed Efficiency (Shrunk sale wt. - Deads In)</t>
  </si>
  <si>
    <t>Return to ownership and management</t>
  </si>
  <si>
    <t>Return to ownership and management ($)</t>
  </si>
  <si>
    <r>
      <t xml:space="preserve">Decreased return for chronics </t>
    </r>
    <r>
      <rPr>
        <sz val="10"/>
        <rFont val="Arial"/>
        <family val="2"/>
      </rPr>
      <t>(compared to pen average)</t>
    </r>
  </si>
  <si>
    <t>Chronic rate</t>
  </si>
  <si>
    <t>Decreased returns for chronics compared to pen avg.</t>
  </si>
  <si>
    <t>Calculate for Return to ownership and management</t>
  </si>
  <si>
    <t>Average Daily Gain (CALCULATED - Pay (Shrunk) Weights, Deads out; lbs. per day)</t>
  </si>
  <si>
    <t>Average Daily Gain (CALCULATED - Pay (Shrunk) Weights, Deads in; lbs per day)</t>
  </si>
  <si>
    <t>Average Daily Gain (CALCULATED - Pay(Shrunk) Weights, Deads in; lbs per day)</t>
  </si>
  <si>
    <t>Bob L. Larson, DVM, PhD</t>
  </si>
  <si>
    <t>The purpose of this program is to estimate the potential returns to owning feeder catte. What do you want to determine?</t>
  </si>
  <si>
    <t>To calculate Purchase Price</t>
  </si>
  <si>
    <t>Hired labor cost per head ($)</t>
  </si>
  <si>
    <t>Annual interest rate (i.e.10)</t>
  </si>
  <si>
    <t>Price paid per pound of diet, as fed ($)</t>
  </si>
  <si>
    <t>Pounds of diet fed daily, as fed</t>
  </si>
  <si>
    <r>
      <t xml:space="preserve">Cost for processing products </t>
    </r>
    <r>
      <rPr>
        <sz val="10"/>
        <rFont val="Arial"/>
        <family val="2"/>
      </rPr>
      <t>($ for vaccines, implants, dewormers, tags)</t>
    </r>
  </si>
  <si>
    <t>Cost of treatment ($;entire cost of multiple-day treatment)</t>
  </si>
  <si>
    <t>Total Pounds of Feed, as fed</t>
  </si>
  <si>
    <t>Annual interest rate (i.e. 10)</t>
  </si>
  <si>
    <t>To calculate Sale Price to Attain Given Return</t>
  </si>
  <si>
    <t>Hired labor cost per head</t>
  </si>
  <si>
    <t>Annual interest rate</t>
  </si>
  <si>
    <t>Price paid per pound of feed, as fed</t>
  </si>
  <si>
    <t>Pounds of feed fed daily, as fed</t>
  </si>
  <si>
    <t>Total pounds of feed consumed, as fed (CALCULATED - Deads out)</t>
  </si>
  <si>
    <t>Total pounds of feed consumed, as fed (CALCULATED - Deads in)</t>
  </si>
  <si>
    <t>Amount of feed fed daily, as fed</t>
  </si>
  <si>
    <t>Annual interest rate (i..e. 10)</t>
  </si>
  <si>
    <r>
      <t xml:space="preserve">Cost for processing products </t>
    </r>
    <r>
      <rPr>
        <sz val="10"/>
        <rFont val="Arial"/>
        <family val="2"/>
      </rPr>
      <t>($ for vaccines, implants,dewormers, tags)</t>
    </r>
  </si>
  <si>
    <t>Cost of treatment ($; entire cost of multiple-day treatment)</t>
  </si>
  <si>
    <t>Calculate for Sale Price</t>
  </si>
  <si>
    <t>Trucking</t>
  </si>
  <si>
    <t xml:space="preserve">Trucking fee - departure ($) </t>
  </si>
  <si>
    <t>Trucking fee - arrival</t>
  </si>
  <si>
    <t>Return to ownership and management -chronics in</t>
  </si>
  <si>
    <t>Trucking fee -departure ($)</t>
  </si>
  <si>
    <t>Trucking - arrival</t>
  </si>
  <si>
    <t>Trucking - departure</t>
  </si>
  <si>
    <t>Trucking fee - departure ($)</t>
  </si>
  <si>
    <t xml:space="preserve">Trucking arrival </t>
  </si>
  <si>
    <t>To calculate Return to Ownership and Management</t>
  </si>
  <si>
    <t>Cost of re-pull O34treatment ($)</t>
  </si>
  <si>
    <t>Cost of re-pull treatment ($)</t>
  </si>
  <si>
    <t>Charge 100% interest on price paid, arrival trucking &amp; processing cost</t>
  </si>
  <si>
    <t>Charge 100% interest on price paid, arrival trucking, &amp; processing cost</t>
  </si>
  <si>
    <r>
      <t xml:space="preserve">Feed Efficiency </t>
    </r>
    <r>
      <rPr>
        <sz val="10"/>
        <rFont val="Arial"/>
        <family val="2"/>
      </rPr>
      <t>(Lbs. of feed / 1 Lbs. of gain - Deads Accounted For)</t>
    </r>
  </si>
  <si>
    <r>
      <t xml:space="preserve">Cost of Gain </t>
    </r>
    <r>
      <rPr>
        <sz val="10"/>
        <rFont val="Arial"/>
        <family val="2"/>
      </rPr>
      <t>(w/o Return to Mgnt. - Deads Accounted For)</t>
    </r>
  </si>
  <si>
    <t>Sale Price to Attain Given Return</t>
  </si>
  <si>
    <t>Trucking fee per head - arrival ($)</t>
  </si>
  <si>
    <t>College of Veterinary Medicine</t>
  </si>
  <si>
    <t>Kansas State University</t>
  </si>
  <si>
    <t>Kansas State University, College of Veterinary Medicine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</si>
</sst>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0.000"/>
    <numFmt numFmtId="167" formatCode="0.0000"/>
    <numFmt numFmtId="168" formatCode="&quot;$&quot;#,##0.0000"/>
  </numFmts>
  <fonts count="19">
    <font>
      <sz val="10"/>
      <name val="Arial"/>
      <family val="0"/>
    </font>
    <font>
      <sz val="14"/>
      <name val="Arial"/>
      <family val="2"/>
    </font>
    <font>
      <sz val="34"/>
      <name val="Arial"/>
      <family val="2"/>
    </font>
    <font>
      <sz val="12"/>
      <name val="Arial"/>
      <family val="2"/>
    </font>
    <font>
      <sz val="16"/>
      <color indexed="12"/>
      <name val="Arial"/>
      <family val="2"/>
    </font>
    <font>
      <sz val="12"/>
      <color indexed="20"/>
      <name val="Arial"/>
      <family val="2"/>
    </font>
    <font>
      <sz val="14"/>
      <color indexed="48"/>
      <name val="Arial"/>
      <family val="2"/>
    </font>
    <font>
      <b/>
      <sz val="12"/>
      <name val="Arial"/>
      <family val="2"/>
    </font>
    <font>
      <b/>
      <sz val="8"/>
      <color indexed="12"/>
      <name val="Tahoma"/>
      <family val="2"/>
    </font>
    <font>
      <sz val="15"/>
      <name val="Arial"/>
      <family val="2"/>
    </font>
    <font>
      <i/>
      <sz val="14"/>
      <color indexed="8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20"/>
      <color indexed="20"/>
      <name val="Arial"/>
      <family val="2"/>
    </font>
    <font>
      <sz val="18"/>
      <color indexed="20"/>
      <name val="Arial"/>
      <family val="2"/>
    </font>
    <font>
      <b/>
      <sz val="14"/>
      <name val="Arial"/>
      <family val="2"/>
    </font>
    <font>
      <sz val="16"/>
      <color indexed="20"/>
      <name val="Arial"/>
      <family val="2"/>
    </font>
    <font>
      <sz val="10"/>
      <color indexed="2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 wrapText="1" indent="2"/>
    </xf>
    <xf numFmtId="4" fontId="0" fillId="2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8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0" fontId="3" fillId="3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10" fontId="3" fillId="4" borderId="1" xfId="0" applyNumberFormat="1" applyFont="1" applyFill="1" applyBorder="1" applyAlignment="1" applyProtection="1">
      <alignment horizontal="center"/>
      <protection locked="0"/>
    </xf>
    <xf numFmtId="4" fontId="3" fillId="3" borderId="1" xfId="0" applyNumberFormat="1" applyFont="1" applyFill="1" applyBorder="1" applyAlignment="1" applyProtection="1">
      <alignment horizontal="center"/>
      <protection locked="0"/>
    </xf>
    <xf numFmtId="8" fontId="3" fillId="3" borderId="1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9" fillId="5" borderId="0" xfId="0" applyFont="1" applyFill="1" applyAlignment="1">
      <alignment horizontal="center" wrapText="1"/>
    </xf>
    <xf numFmtId="0" fontId="3" fillId="5" borderId="0" xfId="0" applyFont="1" applyFill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/>
    </xf>
    <xf numFmtId="164" fontId="3" fillId="5" borderId="3" xfId="0" applyNumberFormat="1" applyFont="1" applyFill="1" applyBorder="1" applyAlignment="1">
      <alignment/>
    </xf>
    <xf numFmtId="10" fontId="3" fillId="5" borderId="3" xfId="0" applyNumberFormat="1" applyFont="1" applyFill="1" applyBorder="1" applyAlignment="1">
      <alignment/>
    </xf>
    <xf numFmtId="2" fontId="3" fillId="5" borderId="3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0" fontId="3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168" fontId="5" fillId="4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13" fillId="5" borderId="0" xfId="0" applyFont="1" applyFill="1" applyAlignment="1">
      <alignment horizontal="center" wrapText="1"/>
    </xf>
    <xf numFmtId="0" fontId="13" fillId="5" borderId="0" xfId="0" applyFont="1" applyFill="1" applyAlignment="1">
      <alignment horizontal="center"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 horizontal="center"/>
    </xf>
    <xf numFmtId="0" fontId="14" fillId="5" borderId="0" xfId="0" applyFont="1" applyFill="1" applyAlignment="1">
      <alignment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0" fillId="4" borderId="2" xfId="0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16" fillId="4" borderId="7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Q289"/>
  <sheetViews>
    <sheetView tabSelected="1" zoomScale="90" zoomScaleNormal="90" workbookViewId="0" topLeftCell="A1">
      <selection activeCell="A1" sqref="A1:I2"/>
    </sheetView>
  </sheetViews>
  <sheetFormatPr defaultColWidth="9.140625" defaultRowHeight="12.75"/>
  <cols>
    <col min="11" max="11" width="26.421875" style="0" customWidth="1"/>
    <col min="12" max="12" width="39.28125" style="0" customWidth="1"/>
    <col min="13" max="13" width="53.00390625" style="0" customWidth="1"/>
    <col min="14" max="14" width="5.421875" style="0" customWidth="1"/>
    <col min="15" max="15" width="66.7109375" style="0" customWidth="1"/>
    <col min="16" max="16" width="19.57421875" style="0" customWidth="1"/>
    <col min="17" max="17" width="10.28125" style="0" hidden="1" customWidth="1"/>
    <col min="18" max="18" width="6.140625" style="0" hidden="1" customWidth="1"/>
    <col min="66" max="66" width="63.57421875" style="0" hidden="1" customWidth="1"/>
    <col min="67" max="67" width="33.28125" style="0" hidden="1" customWidth="1"/>
    <col min="68" max="68" width="24.00390625" style="0" hidden="1" customWidth="1"/>
    <col min="69" max="69" width="0" style="0" hidden="1" customWidth="1"/>
  </cols>
  <sheetData>
    <row r="1" spans="1:69" ht="18">
      <c r="A1" s="61" t="s">
        <v>39</v>
      </c>
      <c r="B1" s="61"/>
      <c r="C1" s="61"/>
      <c r="D1" s="61"/>
      <c r="E1" s="61"/>
      <c r="F1" s="62"/>
      <c r="G1" s="62"/>
      <c r="H1" s="62"/>
      <c r="I1" s="62"/>
      <c r="J1" s="39"/>
      <c r="K1" s="39"/>
      <c r="L1" s="39"/>
      <c r="M1" s="39"/>
      <c r="N1" s="39"/>
      <c r="O1" s="68" t="s">
        <v>100</v>
      </c>
      <c r="P1" s="69"/>
      <c r="Q1" s="69"/>
      <c r="R1" s="70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BN1" s="26" t="s">
        <v>53</v>
      </c>
      <c r="BP1" s="3" t="s">
        <v>14</v>
      </c>
      <c r="BQ1" s="3" t="s">
        <v>15</v>
      </c>
    </row>
    <row r="2" spans="1:32" ht="30.75" customHeight="1">
      <c r="A2" s="61"/>
      <c r="B2" s="61"/>
      <c r="C2" s="61"/>
      <c r="D2" s="61"/>
      <c r="E2" s="61"/>
      <c r="F2" s="62"/>
      <c r="G2" s="62"/>
      <c r="H2" s="62"/>
      <c r="I2" s="62"/>
      <c r="J2" s="39"/>
      <c r="K2" s="39"/>
      <c r="L2" s="39"/>
      <c r="M2" s="39"/>
      <c r="N2" s="39"/>
      <c r="O2" s="71" t="s">
        <v>89</v>
      </c>
      <c r="P2" s="72"/>
      <c r="Q2" s="72"/>
      <c r="R2" s="73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68" ht="36" customHeight="1">
      <c r="A3" s="63" t="s">
        <v>98</v>
      </c>
      <c r="B3" s="63"/>
      <c r="C3" s="63"/>
      <c r="D3" s="63"/>
      <c r="E3" s="63"/>
      <c r="F3" s="63"/>
      <c r="G3" s="63"/>
      <c r="H3" s="63"/>
      <c r="I3" s="63"/>
      <c r="J3" s="39"/>
      <c r="K3" s="39"/>
      <c r="L3" s="39"/>
      <c r="M3" s="39"/>
      <c r="N3" s="39"/>
      <c r="O3" s="74" t="s">
        <v>25</v>
      </c>
      <c r="P3" s="75"/>
      <c r="Q3" s="75"/>
      <c r="R3" s="76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BN3" t="s">
        <v>11</v>
      </c>
      <c r="BO3" s="28">
        <f>'Feeder Calculations'!P5</f>
        <v>0.94</v>
      </c>
      <c r="BP3" s="2">
        <f>(BO3*BO4)</f>
        <v>705</v>
      </c>
    </row>
    <row r="4" spans="1:67" ht="25.5">
      <c r="A4" s="64" t="s">
        <v>99</v>
      </c>
      <c r="B4" s="65"/>
      <c r="C4" s="65"/>
      <c r="D4" s="65"/>
      <c r="E4" s="65"/>
      <c r="F4" s="65"/>
      <c r="G4" s="65"/>
      <c r="H4" s="65"/>
      <c r="I4" s="65"/>
      <c r="J4" s="39"/>
      <c r="K4" s="39"/>
      <c r="L4" s="39"/>
      <c r="M4" s="39"/>
      <c r="N4" s="39"/>
      <c r="O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BN4" t="s">
        <v>7</v>
      </c>
      <c r="BO4" s="6">
        <f>'Feeder Calculations'!P6</f>
        <v>750</v>
      </c>
    </row>
    <row r="5" spans="1:68" ht="27" customHeight="1">
      <c r="A5" s="66" t="s">
        <v>57</v>
      </c>
      <c r="B5" s="67"/>
      <c r="C5" s="67"/>
      <c r="D5" s="67"/>
      <c r="E5" s="67"/>
      <c r="F5" s="67"/>
      <c r="G5" s="67"/>
      <c r="H5" s="67"/>
      <c r="I5" s="67"/>
      <c r="J5" s="39"/>
      <c r="K5" s="39"/>
      <c r="L5" s="39"/>
      <c r="M5" s="39"/>
      <c r="N5" s="39"/>
      <c r="O5" s="42" t="s">
        <v>22</v>
      </c>
      <c r="P5" s="31">
        <v>0.94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BN5" t="s">
        <v>82</v>
      </c>
      <c r="BO5" s="2">
        <f>'Feeder Calculations'!P7</f>
        <v>13</v>
      </c>
      <c r="BP5" s="2">
        <f>BO5</f>
        <v>13</v>
      </c>
    </row>
    <row r="6" spans="1:68" ht="15" customHeight="1">
      <c r="A6" s="60" t="s">
        <v>58</v>
      </c>
      <c r="B6" s="60"/>
      <c r="C6" s="60"/>
      <c r="D6" s="60"/>
      <c r="E6" s="60"/>
      <c r="F6" s="60"/>
      <c r="G6" s="60"/>
      <c r="H6" s="60"/>
      <c r="I6" s="60"/>
      <c r="J6" s="39"/>
      <c r="K6" s="39"/>
      <c r="L6" s="39"/>
      <c r="M6" s="39"/>
      <c r="N6" s="39"/>
      <c r="O6" s="43" t="s">
        <v>23</v>
      </c>
      <c r="P6" s="57">
        <v>750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BN6" t="s">
        <v>69</v>
      </c>
      <c r="BO6" s="2">
        <f>'Feeder Calculations'!P8</f>
        <v>10</v>
      </c>
      <c r="BP6" s="11">
        <f>(BO6*1)</f>
        <v>10</v>
      </c>
    </row>
    <row r="7" spans="1:67" ht="15" customHeight="1">
      <c r="A7" s="60"/>
      <c r="B7" s="60"/>
      <c r="C7" s="60"/>
      <c r="D7" s="60"/>
      <c r="E7" s="60"/>
      <c r="F7" s="60"/>
      <c r="G7" s="60"/>
      <c r="H7" s="60"/>
      <c r="I7" s="60"/>
      <c r="J7" s="39"/>
      <c r="K7" s="39"/>
      <c r="L7" s="39"/>
      <c r="M7" s="39"/>
      <c r="N7" s="39"/>
      <c r="O7" s="43" t="s">
        <v>97</v>
      </c>
      <c r="P7" s="33">
        <v>13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BN7" t="s">
        <v>70</v>
      </c>
      <c r="BO7" s="4">
        <f>'Feeder Calculations'!P9</f>
        <v>0.1</v>
      </c>
    </row>
    <row r="8" spans="1:68" ht="15" customHeight="1">
      <c r="A8" s="60"/>
      <c r="B8" s="60"/>
      <c r="C8" s="60"/>
      <c r="D8" s="60"/>
      <c r="E8" s="60"/>
      <c r="F8" s="60"/>
      <c r="G8" s="60"/>
      <c r="H8" s="60"/>
      <c r="I8" s="60"/>
      <c r="J8" s="39"/>
      <c r="K8" s="39"/>
      <c r="L8" s="39"/>
      <c r="M8" s="39"/>
      <c r="N8" s="39"/>
      <c r="O8" s="44" t="s">
        <v>60</v>
      </c>
      <c r="P8" s="33">
        <v>10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BN8" t="s">
        <v>13</v>
      </c>
      <c r="BO8" s="9">
        <f>(((BO7/365)*BO15)*(BP3+BP5+BP17))+(((BO7/365)*BO15*0.5)*(BP9+BP16+BP19+BP21+BP6))</f>
        <v>31.077008219178083</v>
      </c>
      <c r="BP8" s="2">
        <f>(BO8*1)</f>
        <v>31.077008219178083</v>
      </c>
    </row>
    <row r="9" spans="1:68" ht="15" customHeight="1">
      <c r="A9" s="40"/>
      <c r="B9" s="40"/>
      <c r="C9" s="40"/>
      <c r="D9" s="40"/>
      <c r="E9" s="40"/>
      <c r="F9" s="40"/>
      <c r="G9" s="40"/>
      <c r="H9" s="40"/>
      <c r="I9" s="40"/>
      <c r="J9" s="39"/>
      <c r="K9" s="39"/>
      <c r="L9" s="39"/>
      <c r="M9" s="39"/>
      <c r="N9" s="39"/>
      <c r="O9" s="44" t="s">
        <v>61</v>
      </c>
      <c r="P9" s="34">
        <v>0.1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BN9" t="s">
        <v>71</v>
      </c>
      <c r="BO9" s="28">
        <f>'Feeder Calculations'!P10</f>
        <v>0.04</v>
      </c>
      <c r="BP9" s="2">
        <f>(BO9*BO14)</f>
        <v>111.44</v>
      </c>
    </row>
    <row r="10" spans="1:68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 t="s">
        <v>62</v>
      </c>
      <c r="P10" s="35">
        <v>0.04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BN10" t="s">
        <v>75</v>
      </c>
      <c r="BO10" s="13">
        <f>'Feeder Calculations'!P11</f>
        <v>20</v>
      </c>
      <c r="BP10" s="2"/>
    </row>
    <row r="11" spans="1:67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 t="s">
        <v>63</v>
      </c>
      <c r="P11" s="32">
        <v>20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BN11" s="5" t="s">
        <v>56</v>
      </c>
      <c r="BO11" s="7">
        <f>((BO28-BO4)*(1-BO22))/BO15</f>
        <v>3.2705357142857143</v>
      </c>
    </row>
    <row r="12" spans="1:67" ht="1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4" t="s">
        <v>24</v>
      </c>
      <c r="P12" s="57">
        <v>140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BN12" s="5" t="s">
        <v>54</v>
      </c>
      <c r="BO12" s="8">
        <f>((BO28-BO4)/BO15)</f>
        <v>3.3035714285714284</v>
      </c>
    </row>
    <row r="13" spans="1:67" ht="1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 t="s">
        <v>40</v>
      </c>
      <c r="P13" s="33">
        <v>0.28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BN13" s="5" t="s">
        <v>73</v>
      </c>
      <c r="BO13" s="7">
        <f>(BO10*BO15)</f>
        <v>2800</v>
      </c>
    </row>
    <row r="14" spans="1:67" ht="1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4" t="s">
        <v>64</v>
      </c>
      <c r="P14" s="33">
        <v>12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BN14" s="5" t="s">
        <v>74</v>
      </c>
      <c r="BO14" s="7">
        <f>(BO10*BO15)*(1-(BO22*0.5))</f>
        <v>2786</v>
      </c>
    </row>
    <row r="15" spans="1:67" ht="1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4" t="s">
        <v>26</v>
      </c>
      <c r="P15" s="34">
        <v>0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BN15" t="s">
        <v>0</v>
      </c>
      <c r="BO15" s="14">
        <f>'Feeder Calculations'!P12</f>
        <v>140</v>
      </c>
    </row>
    <row r="16" spans="1:68" ht="1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 t="s">
        <v>65</v>
      </c>
      <c r="P16" s="33">
        <v>15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BN16" t="s">
        <v>3</v>
      </c>
      <c r="BO16" s="2">
        <f>'Feeder Calculations'!P13</f>
        <v>0.28</v>
      </c>
      <c r="BP16" s="2">
        <f>(BO15*BO16)*((1-(BO22*0.5)))</f>
        <v>39.004000000000005</v>
      </c>
    </row>
    <row r="17" spans="1:68" ht="1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4" t="s">
        <v>37</v>
      </c>
      <c r="P17" s="34">
        <v>0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BN17" t="s">
        <v>4</v>
      </c>
      <c r="BO17" s="2">
        <f>'Feeder Calculations'!P14</f>
        <v>12</v>
      </c>
      <c r="BP17" s="11">
        <f>(BO17*1)</f>
        <v>12</v>
      </c>
    </row>
    <row r="18" spans="1:67" ht="1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5" t="s">
        <v>90</v>
      </c>
      <c r="P18" s="33">
        <v>18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BN18" t="s">
        <v>1</v>
      </c>
      <c r="BO18" s="4">
        <f>'Feeder Calculations'!P15</f>
        <v>0</v>
      </c>
    </row>
    <row r="19" spans="1:68" ht="1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6" t="s">
        <v>27</v>
      </c>
      <c r="P19" s="34">
        <v>0.01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BN19" t="s">
        <v>18</v>
      </c>
      <c r="BO19" s="2">
        <f>'Feeder Calculations'!P16</f>
        <v>15</v>
      </c>
      <c r="BP19" s="2">
        <f>(BO18*BO19)</f>
        <v>0</v>
      </c>
    </row>
    <row r="20" spans="1:67" ht="1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6" t="s">
        <v>51</v>
      </c>
      <c r="P20" s="36">
        <f>P19*0.25</f>
        <v>0.0025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BN20" t="s">
        <v>20</v>
      </c>
      <c r="BO20" s="4">
        <f>'Feeder Calculations'!P17</f>
        <v>0</v>
      </c>
    </row>
    <row r="21" spans="1:68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5" t="s">
        <v>28</v>
      </c>
      <c r="P21" s="31">
        <v>0.77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BN21" t="s">
        <v>19</v>
      </c>
      <c r="BO21" s="2">
        <f>'Feeder Calculations'!P18</f>
        <v>18</v>
      </c>
      <c r="BP21" s="2">
        <f>(BO18*BO20*BO21)</f>
        <v>0</v>
      </c>
    </row>
    <row r="22" spans="1:67" ht="1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7" t="s">
        <v>29</v>
      </c>
      <c r="P22" s="57">
        <v>1250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BN22" t="s">
        <v>2</v>
      </c>
      <c r="BO22" s="4">
        <f>'Feeder Calculations'!P19</f>
        <v>0.01</v>
      </c>
    </row>
    <row r="23" spans="1:67" ht="1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6" t="s">
        <v>30</v>
      </c>
      <c r="P23" s="34">
        <v>0.03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BN23" t="s">
        <v>51</v>
      </c>
      <c r="BO23" s="4">
        <f>'Feeder Calculations'!P20</f>
        <v>0.0025</v>
      </c>
    </row>
    <row r="24" spans="1:68" ht="1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5" t="s">
        <v>36</v>
      </c>
      <c r="P24" s="33">
        <v>0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BN24" t="s">
        <v>52</v>
      </c>
      <c r="BO24" s="2">
        <f>'Feeder Calculations'!P26</f>
        <v>150</v>
      </c>
      <c r="BP24" s="2">
        <f>(BO24*BO23)</f>
        <v>0.375</v>
      </c>
    </row>
    <row r="25" spans="1:67" ht="1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5" t="s">
        <v>81</v>
      </c>
      <c r="P25" s="33">
        <v>0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BN25" t="s">
        <v>8</v>
      </c>
      <c r="BO25" s="28">
        <f>'Feeder Calculations'!P21</f>
        <v>0.77</v>
      </c>
    </row>
    <row r="26" spans="1:67" ht="1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5" t="s">
        <v>50</v>
      </c>
      <c r="P26" s="33">
        <v>150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BN26" t="s">
        <v>9</v>
      </c>
      <c r="BO26" s="13">
        <f>'Feeder Calculations'!P22</f>
        <v>1250</v>
      </c>
    </row>
    <row r="27" spans="1:67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1"/>
      <c r="P27" s="4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BN27" t="s">
        <v>10</v>
      </c>
      <c r="BO27" s="4">
        <f>'Feeder Calculations'!P23</f>
        <v>0.03</v>
      </c>
    </row>
    <row r="28" spans="1:69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58" t="s">
        <v>31</v>
      </c>
      <c r="P28" s="5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BN28" t="s">
        <v>12</v>
      </c>
      <c r="BO28" s="7">
        <f>(BO26*(1-BO27))</f>
        <v>1212.5</v>
      </c>
      <c r="BQ28" s="2">
        <f>(BO25*BO28*(1-BO22))</f>
        <v>924.2887499999999</v>
      </c>
    </row>
    <row r="29" spans="1:69" ht="1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2" t="s">
        <v>32</v>
      </c>
      <c r="P29" s="48">
        <f>'Feeder Calculations'!BO8</f>
        <v>31.077008219178083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BN29" t="s">
        <v>80</v>
      </c>
      <c r="BO29" s="2">
        <f>'Feeder Calculations'!P25</f>
        <v>0</v>
      </c>
      <c r="BP29" s="2">
        <f>(BO29*1)*(1-BO22)</f>
        <v>0</v>
      </c>
      <c r="BQ29" s="2"/>
    </row>
    <row r="30" spans="1:68" ht="1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 t="s">
        <v>34</v>
      </c>
      <c r="P30" s="49">
        <f>'Feeder Calculations'!BO12</f>
        <v>3.3035714285714284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BN30" t="s">
        <v>16</v>
      </c>
      <c r="BO30" s="2">
        <f>'Feeder Calculations'!P24</f>
        <v>0</v>
      </c>
      <c r="BP30" s="2">
        <f>(BO30*1)*(1-BO22)</f>
        <v>0</v>
      </c>
    </row>
    <row r="31" spans="1:68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 t="s">
        <v>33</v>
      </c>
      <c r="P31" s="49">
        <f>'Feeder Calculations'!BO11</f>
        <v>3.2705357142857143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BO31" s="11"/>
      <c r="BP31" s="2"/>
    </row>
    <row r="32" spans="1:68" ht="1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 t="s">
        <v>66</v>
      </c>
      <c r="P32" s="49">
        <f>'Feeder Calculations'!BO14</f>
        <v>2786</v>
      </c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BN32" s="5" t="s">
        <v>17</v>
      </c>
      <c r="BO32" s="10">
        <f>(SUM(BP5:BP30)/(BO28-BO4))</f>
        <v>0.46896434209552024</v>
      </c>
      <c r="BP32" s="2"/>
    </row>
    <row r="33" spans="1:68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 t="s">
        <v>94</v>
      </c>
      <c r="P33" s="49">
        <f>'Feeder Calculations'!BO35</f>
        <v>6.0237837837837835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BN33" s="19" t="s">
        <v>41</v>
      </c>
      <c r="BO33" s="10">
        <f>(SUM(BP5:BP30)/((BO28-BO4)*(1-BO22)))</f>
        <v>0.47370135565204063</v>
      </c>
      <c r="BP33" s="2"/>
    </row>
    <row r="34" spans="1:68" ht="1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 t="s">
        <v>95</v>
      </c>
      <c r="P34" s="50">
        <f>'Feeder Calculations'!BO33</f>
        <v>0.47370135565204063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BN34" s="22" t="s">
        <v>46</v>
      </c>
      <c r="BO34" s="21">
        <f>BO13/(BO28-BO4)</f>
        <v>6.054054054054054</v>
      </c>
      <c r="BP34" s="2"/>
    </row>
    <row r="35" spans="1:68" ht="1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4" t="s">
        <v>48</v>
      </c>
      <c r="P35" s="48">
        <f>'Feeder Calculations'!BO36</f>
        <v>2.3927417808218934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BN35" s="19" t="s">
        <v>47</v>
      </c>
      <c r="BO35" s="21">
        <f>BO14/(BO28-BO4)</f>
        <v>6.0237837837837835</v>
      </c>
      <c r="BP35" s="2"/>
    </row>
    <row r="36" spans="1:68" ht="1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BN36" s="5" t="s">
        <v>83</v>
      </c>
      <c r="BO36" s="10">
        <f>SUM(BQ2:BQ30)-SUM(BP2:BP30)</f>
        <v>2.3927417808218934</v>
      </c>
      <c r="BP36" s="2"/>
    </row>
    <row r="37" spans="1:32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66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BN38" t="s">
        <v>92</v>
      </c>
    </row>
    <row r="39" spans="1:66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BN39" t="s">
        <v>6</v>
      </c>
    </row>
    <row r="40" spans="1:32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t="1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ht="1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69" ht="1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BN45" s="12" t="s">
        <v>21</v>
      </c>
      <c r="BP45" s="3" t="s">
        <v>14</v>
      </c>
      <c r="BQ45" s="3" t="s">
        <v>15</v>
      </c>
    </row>
    <row r="46" spans="1:32" ht="1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68" ht="1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BN47" t="s">
        <v>7</v>
      </c>
      <c r="BO47" s="6">
        <f>'Feeder Calculations'!P56</f>
        <v>700</v>
      </c>
      <c r="BP47" s="11"/>
    </row>
    <row r="48" spans="1:68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BN48" t="s">
        <v>85</v>
      </c>
      <c r="BO48" s="2">
        <f>'Feeder Calculations'!P57</f>
        <v>3</v>
      </c>
      <c r="BP48" s="11">
        <f>BO48</f>
        <v>3</v>
      </c>
    </row>
    <row r="49" spans="1:68" ht="1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BN49" t="s">
        <v>69</v>
      </c>
      <c r="BO49" s="2">
        <f>'Feeder Calculations'!P58</f>
        <v>10</v>
      </c>
      <c r="BP49" s="11">
        <f>(BO49*1)</f>
        <v>10</v>
      </c>
    </row>
    <row r="50" spans="1:67" ht="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77"/>
      <c r="P50" s="7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BN50" t="s">
        <v>70</v>
      </c>
      <c r="BO50" s="4">
        <f>'Feeder Calculations'!P59</f>
        <v>0.1</v>
      </c>
    </row>
    <row r="51" spans="1:68" ht="1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85" t="s">
        <v>100</v>
      </c>
      <c r="P51" s="8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BN51" t="s">
        <v>42</v>
      </c>
      <c r="BO51" s="9">
        <f>(((BO50/365)*BO58)*((BP60+BP48)+(BQ71-(BP49+BP59+BP60+BP62+BP64+BP73+BP74))))+(((BO50/365)*BO58*0.5)*(BP52+BP59+BP62+BP64+BO49))</f>
        <v>44.62410177660275</v>
      </c>
      <c r="BP51" s="2">
        <f>BO51</f>
        <v>44.62410177660275</v>
      </c>
    </row>
    <row r="52" spans="1:68" ht="1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79"/>
      <c r="P52" s="80"/>
      <c r="Q52" s="23"/>
      <c r="R52" s="23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BN52" t="s">
        <v>71</v>
      </c>
      <c r="BO52" s="28">
        <f>'Feeder Calculations'!P60</f>
        <v>0.04</v>
      </c>
      <c r="BP52" s="2">
        <f>(BO52*BO57)</f>
        <v>91.14200000000001</v>
      </c>
    </row>
    <row r="53" spans="1:67" ht="33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81" t="s">
        <v>59</v>
      </c>
      <c r="P53" s="82"/>
      <c r="Q53" s="24"/>
      <c r="R53" s="24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BN53" t="s">
        <v>72</v>
      </c>
      <c r="BO53" s="13">
        <f>'Feeder Calculations'!P61</f>
        <v>10</v>
      </c>
    </row>
    <row r="54" spans="1:67" ht="33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83" t="s">
        <v>25</v>
      </c>
      <c r="P54" s="84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BN54" s="5" t="s">
        <v>55</v>
      </c>
      <c r="BO54" s="7">
        <f>((BO71-BO47)*(1-BO65))/BO58</f>
        <v>2.204834187772926</v>
      </c>
    </row>
    <row r="55" spans="1:67" ht="1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"/>
      <c r="R55" s="3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BN55" s="5" t="s">
        <v>54</v>
      </c>
      <c r="BO55" s="8">
        <f>((BO71-BO47)/BO58)</f>
        <v>2.2271052401746725</v>
      </c>
    </row>
    <row r="56" spans="1:67" ht="1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1" t="s">
        <v>23</v>
      </c>
      <c r="P56" s="57">
        <v>700</v>
      </c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BN56" s="5" t="s">
        <v>73</v>
      </c>
      <c r="BO56" s="7">
        <f>BO53*BO58</f>
        <v>2290</v>
      </c>
    </row>
    <row r="57" spans="1:67" ht="1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52" t="s">
        <v>97</v>
      </c>
      <c r="P57" s="33">
        <v>3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BN57" s="5" t="s">
        <v>74</v>
      </c>
      <c r="BO57" s="7">
        <f>(BO53*BO58)*(1-(BO65*0.5))</f>
        <v>2278.55</v>
      </c>
    </row>
    <row r="58" spans="1:67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52" t="s">
        <v>60</v>
      </c>
      <c r="P58" s="33">
        <v>10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BN58" t="s">
        <v>0</v>
      </c>
      <c r="BO58" s="14">
        <f>'Feeder Calculations'!P62</f>
        <v>229</v>
      </c>
    </row>
    <row r="59" spans="1:68" ht="1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52" t="s">
        <v>67</v>
      </c>
      <c r="P59" s="34">
        <v>0.1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BN59" t="s">
        <v>3</v>
      </c>
      <c r="BO59" s="2">
        <f>'Feeder Calculations'!P63</f>
        <v>0.28</v>
      </c>
      <c r="BP59" s="2">
        <f>(BO58*BO59)*(1-(BO65*0.5))</f>
        <v>63.799400000000006</v>
      </c>
    </row>
    <row r="60" spans="1:68" ht="1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52" t="s">
        <v>62</v>
      </c>
      <c r="P60" s="35">
        <v>0.04</v>
      </c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BN60" t="s">
        <v>4</v>
      </c>
      <c r="BO60" s="2">
        <f>'Feeder Calculations'!P64</f>
        <v>7</v>
      </c>
      <c r="BP60" s="11">
        <f>(BO60*1)</f>
        <v>7</v>
      </c>
    </row>
    <row r="61" spans="1:67" ht="1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52" t="s">
        <v>63</v>
      </c>
      <c r="P61" s="37">
        <v>10</v>
      </c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BN61" t="s">
        <v>1</v>
      </c>
      <c r="BO61" s="4">
        <f>'Feeder Calculations'!P65</f>
        <v>0.05</v>
      </c>
    </row>
    <row r="62" spans="1:68" ht="1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52" t="s">
        <v>24</v>
      </c>
      <c r="P62" s="57">
        <v>229</v>
      </c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BN62" t="s">
        <v>18</v>
      </c>
      <c r="BO62" s="2">
        <f>'Feeder Calculations'!P66</f>
        <v>15</v>
      </c>
      <c r="BP62" s="2">
        <f>(BO61*BO62)</f>
        <v>0.75</v>
      </c>
    </row>
    <row r="63" spans="1:67" ht="1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52" t="s">
        <v>40</v>
      </c>
      <c r="P63" s="33">
        <v>0.28</v>
      </c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BN63" t="s">
        <v>20</v>
      </c>
      <c r="BO63" s="4">
        <f>'Feeder Calculations'!P67</f>
        <v>0.12</v>
      </c>
    </row>
    <row r="64" spans="1:68" ht="1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52" t="s">
        <v>64</v>
      </c>
      <c r="P64" s="33">
        <v>7</v>
      </c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BN64" t="s">
        <v>19</v>
      </c>
      <c r="BO64" s="2">
        <f>'Feeder Calculations'!P68</f>
        <v>18</v>
      </c>
      <c r="BP64" s="2">
        <f>(BO61*BO63*BO64)</f>
        <v>0.108</v>
      </c>
    </row>
    <row r="65" spans="1:67" ht="1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52" t="s">
        <v>26</v>
      </c>
      <c r="P65" s="34">
        <v>0.05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BN65" t="s">
        <v>2</v>
      </c>
      <c r="BO65" s="4">
        <v>0.01</v>
      </c>
    </row>
    <row r="66" spans="1:67" ht="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52" t="s">
        <v>78</v>
      </c>
      <c r="P66" s="33">
        <v>15</v>
      </c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BN66" t="s">
        <v>51</v>
      </c>
      <c r="BO66" s="4">
        <v>0.01</v>
      </c>
    </row>
    <row r="67" spans="1:68" ht="1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52" t="s">
        <v>37</v>
      </c>
      <c r="P67" s="34">
        <v>0.12</v>
      </c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BN67" t="s">
        <v>52</v>
      </c>
      <c r="BO67" s="2">
        <f>'Feeder Calculations'!P77</f>
        <v>150</v>
      </c>
      <c r="BP67" s="2">
        <f>BO67*BO66</f>
        <v>1.5</v>
      </c>
    </row>
    <row r="68" spans="1:67" ht="1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53" t="s">
        <v>91</v>
      </c>
      <c r="P68" s="33">
        <v>18</v>
      </c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BN68" t="s">
        <v>8</v>
      </c>
      <c r="BO68" s="2">
        <f>'Feeder Calculations'!P71</f>
        <v>0.6</v>
      </c>
    </row>
    <row r="69" spans="1:67" ht="1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54" t="s">
        <v>27</v>
      </c>
      <c r="P69" s="34">
        <v>0.01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BN69" t="s">
        <v>9</v>
      </c>
      <c r="BO69" s="13">
        <f>'Feeder Calculations'!P72</f>
        <v>1247.43</v>
      </c>
    </row>
    <row r="70" spans="1:67" ht="1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54" t="s">
        <v>51</v>
      </c>
      <c r="P70" s="36">
        <f>P69*0.25</f>
        <v>0.0025</v>
      </c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BN70" t="s">
        <v>10</v>
      </c>
      <c r="BO70" s="4">
        <f>'Feeder Calculations'!P73</f>
        <v>0.03</v>
      </c>
    </row>
    <row r="71" spans="1:69" ht="1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53" t="s">
        <v>28</v>
      </c>
      <c r="P71" s="31">
        <v>0.6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BN71" t="s">
        <v>12</v>
      </c>
      <c r="BO71" s="15">
        <f>(BO69*(1-BO70))</f>
        <v>1210.0071</v>
      </c>
      <c r="BQ71" s="2">
        <f>(BO68*BO71*(1-BO65))</f>
        <v>718.7442174</v>
      </c>
    </row>
    <row r="72" spans="1:69" ht="1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55" t="s">
        <v>29</v>
      </c>
      <c r="P72" s="57">
        <v>1247.43</v>
      </c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BN72" t="s">
        <v>86</v>
      </c>
      <c r="BO72" s="2">
        <f>'Feeder Calculations'!P75</f>
        <v>5</v>
      </c>
      <c r="BP72" s="2">
        <f>(BO72*1)*(1-BO65)</f>
        <v>4.95</v>
      </c>
      <c r="BQ72" s="2"/>
    </row>
    <row r="73" spans="1:68" ht="1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54" t="s">
        <v>30</v>
      </c>
      <c r="P73" s="34">
        <v>0.03</v>
      </c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BN73" t="s">
        <v>16</v>
      </c>
      <c r="BO73" s="2">
        <f>'Feeder Calculations'!P74</f>
        <v>1.1</v>
      </c>
      <c r="BP73" s="2">
        <f>(BO73*1)*(1-BO65)</f>
        <v>1.089</v>
      </c>
    </row>
    <row r="74" spans="1:68" ht="1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53" t="s">
        <v>36</v>
      </c>
      <c r="P74" s="33">
        <v>1.1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BN74" t="s">
        <v>5</v>
      </c>
      <c r="BO74" s="2">
        <f>'Feeder Calculations'!P76</f>
        <v>17.64</v>
      </c>
      <c r="BP74" s="2">
        <f>BO74*1</f>
        <v>17.64</v>
      </c>
    </row>
    <row r="75" spans="1:68" ht="1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53" t="s">
        <v>84</v>
      </c>
      <c r="P75" s="33">
        <v>5</v>
      </c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BN75" s="5" t="s">
        <v>17</v>
      </c>
      <c r="BO75" s="10">
        <f>(SUM(BP47:BP73)/(BO71-BO47))</f>
        <v>0.4469790749513149</v>
      </c>
      <c r="BP75" s="2"/>
    </row>
    <row r="76" spans="1:68" ht="1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52" t="s">
        <v>49</v>
      </c>
      <c r="P76" s="33">
        <v>17.64</v>
      </c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BN76" s="5" t="s">
        <v>43</v>
      </c>
      <c r="BO76" s="10">
        <f>(SUM(BP47:BP73)/((BO71-BO47)*(1-BO65)))</f>
        <v>0.45149401510233833</v>
      </c>
      <c r="BP76" s="2"/>
    </row>
    <row r="77" spans="1:68" ht="1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52" t="s">
        <v>50</v>
      </c>
      <c r="P77" s="33">
        <v>150</v>
      </c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BN77" s="5" t="s">
        <v>46</v>
      </c>
      <c r="BO77" s="21">
        <f>BO56/(BO71-BO47)</f>
        <v>4.490133568728749</v>
      </c>
      <c r="BP77" s="2"/>
    </row>
    <row r="78" spans="1:68" ht="1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1"/>
      <c r="P78" s="4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BN78" s="5" t="s">
        <v>47</v>
      </c>
      <c r="BO78" s="21">
        <f>BO57/(BO71-BO47)</f>
        <v>4.467682900885105</v>
      </c>
      <c r="BP78" s="2"/>
    </row>
    <row r="79" spans="1:68" ht="1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58" t="s">
        <v>31</v>
      </c>
      <c r="P79" s="5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BN79" s="5" t="s">
        <v>35</v>
      </c>
      <c r="BO79" s="29">
        <f>(BQ71-SUM(BP47:BP74))/BO47</f>
        <v>0.6759167366048532</v>
      </c>
      <c r="BP79" s="2"/>
    </row>
    <row r="80" spans="1:32" ht="1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51" t="s">
        <v>42</v>
      </c>
      <c r="P80" s="48">
        <f>'Feeder Calculations'!BO51</f>
        <v>44.62410177660275</v>
      </c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spans="1:66" ht="1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52" t="s">
        <v>34</v>
      </c>
      <c r="P81" s="49">
        <f>'Feeder Calculations'!BO55</f>
        <v>2.2271052401746725</v>
      </c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BN81" t="s">
        <v>93</v>
      </c>
    </row>
    <row r="82" spans="1:66" ht="1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52" t="s">
        <v>33</v>
      </c>
      <c r="P82" s="49">
        <f>'Feeder Calculations'!BO54</f>
        <v>2.204834187772926</v>
      </c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BN82" t="s">
        <v>6</v>
      </c>
    </row>
    <row r="83" spans="1:32" ht="1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52" t="s">
        <v>66</v>
      </c>
      <c r="P83" s="49">
        <f>'Feeder Calculations'!BO57</f>
        <v>2278.55</v>
      </c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ht="1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52" t="s">
        <v>94</v>
      </c>
      <c r="P84" s="49">
        <f>'Feeder Calculations'!BO78</f>
        <v>4.467682900885105</v>
      </c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ht="1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52" t="s">
        <v>95</v>
      </c>
      <c r="P85" s="50">
        <f>'Feeder Calculations'!BO76</f>
        <v>0.45149401510233833</v>
      </c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69" ht="1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52" t="s">
        <v>35</v>
      </c>
      <c r="P86" s="56">
        <f>'Feeder Calculations'!BO79</f>
        <v>0.6759167366048532</v>
      </c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BN86" s="12" t="s">
        <v>79</v>
      </c>
      <c r="BP86" s="3" t="s">
        <v>14</v>
      </c>
      <c r="BQ86" s="3" t="s">
        <v>15</v>
      </c>
    </row>
    <row r="87" spans="1:32" ht="1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68" ht="1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BN88" t="s">
        <v>11</v>
      </c>
      <c r="BO88" s="30">
        <f>'Feeder Calculations'!P110</f>
        <v>0.7</v>
      </c>
      <c r="BP88" s="1"/>
    </row>
    <row r="89" spans="1:68" ht="1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BN89" t="s">
        <v>7</v>
      </c>
      <c r="BO89" s="16">
        <f>'Feeder Calculations'!P111</f>
        <v>700</v>
      </c>
      <c r="BP89" s="2">
        <f>(BO88*BO89)</f>
        <v>489.99999999999994</v>
      </c>
    </row>
    <row r="90" spans="1:68" ht="1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BN90" t="s">
        <v>88</v>
      </c>
      <c r="BO90" s="11">
        <f>'Feeder Calculations'!P112</f>
        <v>3</v>
      </c>
      <c r="BP90" s="2">
        <f>BO90</f>
        <v>3</v>
      </c>
    </row>
    <row r="91" spans="1:68" ht="1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BN91" t="s">
        <v>69</v>
      </c>
      <c r="BO91" s="11">
        <f>'Feeder Calculations'!P113</f>
        <v>10</v>
      </c>
      <c r="BP91" s="11">
        <f>(BO91*1)</f>
        <v>10</v>
      </c>
    </row>
    <row r="92" spans="1:67" ht="1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BN92" t="s">
        <v>70</v>
      </c>
      <c r="BO92" s="17">
        <f>'Feeder Calculations'!P114</f>
        <v>0.1</v>
      </c>
    </row>
    <row r="93" spans="1:68" ht="1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BN93" t="s">
        <v>13</v>
      </c>
      <c r="BO93" s="9">
        <f>(((BO92/365)*BO100)*(BP89+BP90+BP102))+(((BO92/365)*BO100*0.5)*(BP94+BP101+BP104+BP106+BP91))</f>
        <v>36.57096747945206</v>
      </c>
      <c r="BP93" s="2">
        <f>BO93</f>
        <v>36.57096747945206</v>
      </c>
    </row>
    <row r="94" spans="1:68" ht="1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BN94" t="s">
        <v>71</v>
      </c>
      <c r="BO94" s="30">
        <f>'Feeder Calculations'!P115</f>
        <v>0.04</v>
      </c>
      <c r="BP94" s="2">
        <f>(BO94*BO99)</f>
        <v>91.14200000000001</v>
      </c>
    </row>
    <row r="95" spans="1:67" ht="1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BN95" t="s">
        <v>72</v>
      </c>
      <c r="BO95" s="16">
        <f>'Feeder Calculations'!P116</f>
        <v>10</v>
      </c>
    </row>
    <row r="96" spans="1:67" ht="1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BN96" s="5" t="s">
        <v>55</v>
      </c>
      <c r="BO96" s="7">
        <f>((BO114-BO89)*(1-BO107))/BO100</f>
        <v>2.204834187772926</v>
      </c>
    </row>
    <row r="97" spans="1:67" ht="1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BN97" s="5" t="s">
        <v>54</v>
      </c>
      <c r="BO97" s="8">
        <f>((BO114-BO89)/BO100)</f>
        <v>2.2271052401746725</v>
      </c>
    </row>
    <row r="98" spans="1:67" ht="1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BN98" s="5" t="s">
        <v>73</v>
      </c>
      <c r="BO98" s="20">
        <f>BO95*BO100</f>
        <v>2290</v>
      </c>
    </row>
    <row r="99" spans="1:67" ht="1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BN99" s="5" t="s">
        <v>74</v>
      </c>
      <c r="BO99" s="20">
        <f>(BO95*BO100)*(1-(BO107*0.5))</f>
        <v>2278.55</v>
      </c>
    </row>
    <row r="100" spans="1:67" ht="1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BN100" t="s">
        <v>0</v>
      </c>
      <c r="BO100" s="16">
        <f>'Feeder Calculations'!P117</f>
        <v>229</v>
      </c>
    </row>
    <row r="101" spans="1:68" ht="1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BN101" t="s">
        <v>3</v>
      </c>
      <c r="BO101" s="11">
        <f>'Feeder Calculations'!P118</f>
        <v>0.28</v>
      </c>
      <c r="BP101" s="2">
        <f>(BO100*BO101)*(1-(BO107*0.5))</f>
        <v>63.799400000000006</v>
      </c>
    </row>
    <row r="102" spans="1:68" ht="1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BN102" t="s">
        <v>4</v>
      </c>
      <c r="BO102" s="11">
        <f>'Feeder Calculations'!P119</f>
        <v>7</v>
      </c>
      <c r="BP102" s="11">
        <f>(BO102*1)</f>
        <v>7</v>
      </c>
    </row>
    <row r="103" spans="1:67" ht="1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BN103" t="s">
        <v>1</v>
      </c>
      <c r="BO103" s="17">
        <f>'Feeder Calculations'!P120</f>
        <v>0.05</v>
      </c>
    </row>
    <row r="104" spans="1:68" ht="1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87"/>
      <c r="P104" s="88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BN104" t="s">
        <v>18</v>
      </c>
      <c r="BO104" s="11">
        <f>'Feeder Calculations'!P121</f>
        <v>15</v>
      </c>
      <c r="BP104" s="2">
        <f>(BO103*BO104)</f>
        <v>0.75</v>
      </c>
    </row>
    <row r="105" spans="1:67" ht="1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85" t="s">
        <v>100</v>
      </c>
      <c r="P105" s="86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BN105" t="s">
        <v>20</v>
      </c>
      <c r="BO105" s="17">
        <f>'Feeder Calculations'!P122</f>
        <v>0.12</v>
      </c>
    </row>
    <row r="106" spans="1:68" ht="33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71" t="s">
        <v>68</v>
      </c>
      <c r="P106" s="93"/>
      <c r="Q106" s="23"/>
      <c r="R106" s="23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BN106" t="s">
        <v>19</v>
      </c>
      <c r="BO106" s="11">
        <f>'Feeder Calculations'!P123</f>
        <v>18</v>
      </c>
      <c r="BP106" s="2">
        <f>(BO103*BO105*BO106)</f>
        <v>0.108</v>
      </c>
    </row>
    <row r="107" spans="1:67" ht="1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89"/>
      <c r="P107" s="9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BN107" t="s">
        <v>2</v>
      </c>
      <c r="BO107" s="17">
        <f>'Feeder Calculations'!P124</f>
        <v>0.01</v>
      </c>
    </row>
    <row r="108" spans="1:67" ht="33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91" t="s">
        <v>25</v>
      </c>
      <c r="P108" s="92"/>
      <c r="Q108" s="24"/>
      <c r="R108" s="2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BN108" t="s">
        <v>51</v>
      </c>
      <c r="BO108" s="17">
        <f>'Feeder Calculations'!P125</f>
        <v>0.0025</v>
      </c>
    </row>
    <row r="109" spans="1:68" ht="1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"/>
      <c r="R109" s="3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BN109" t="s">
        <v>86</v>
      </c>
      <c r="BO109" s="11">
        <f>'Feeder Calculations'!P129</f>
        <v>5</v>
      </c>
      <c r="BP109" s="2">
        <f>(BO109*1)*(1-BO107)</f>
        <v>4.95</v>
      </c>
    </row>
    <row r="110" spans="1:68" ht="1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51" t="s">
        <v>22</v>
      </c>
      <c r="P110" s="31">
        <v>0.7</v>
      </c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BN110" t="s">
        <v>52</v>
      </c>
      <c r="BO110" s="25">
        <f>'Feeder Calculations'!P131</f>
        <v>150</v>
      </c>
      <c r="BP110" s="27">
        <f>BO110*BO108</f>
        <v>0.375</v>
      </c>
    </row>
    <row r="111" spans="1:67" ht="1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52" t="s">
        <v>23</v>
      </c>
      <c r="P111" s="57">
        <v>700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BN111" t="s">
        <v>8</v>
      </c>
      <c r="BO111" s="29">
        <f>(SUM(BP89:BP116)/(BO114*(1-BO107)))</f>
        <v>0.6063286631565896</v>
      </c>
    </row>
    <row r="112" spans="1:67" ht="1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52" t="s">
        <v>97</v>
      </c>
      <c r="P112" s="33">
        <v>3</v>
      </c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BN112" t="s">
        <v>9</v>
      </c>
      <c r="BO112" s="18">
        <f>'Feeder Calculations'!P126</f>
        <v>1247.43</v>
      </c>
    </row>
    <row r="113" spans="1:67" ht="1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52" t="s">
        <v>60</v>
      </c>
      <c r="P113" s="33">
        <v>10</v>
      </c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BN113" t="s">
        <v>10</v>
      </c>
      <c r="BO113" s="17">
        <f>'Feeder Calculations'!P127</f>
        <v>0.03</v>
      </c>
    </row>
    <row r="114" spans="1:69" ht="1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52" t="s">
        <v>76</v>
      </c>
      <c r="P114" s="34">
        <v>0.1</v>
      </c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BN114" t="s">
        <v>12</v>
      </c>
      <c r="BO114" s="18">
        <f>(BO112*(1-BO113))</f>
        <v>1210.0071</v>
      </c>
      <c r="BQ114" s="2"/>
    </row>
    <row r="115" spans="1:68" ht="1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52" t="s">
        <v>62</v>
      </c>
      <c r="P115" s="35">
        <v>0.04</v>
      </c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BN115" t="s">
        <v>16</v>
      </c>
      <c r="BO115" s="11">
        <f>'Feeder Calculations'!P128</f>
        <v>1</v>
      </c>
      <c r="BP115" s="2">
        <f>(BO115*1)*(1-BO107)</f>
        <v>0.99</v>
      </c>
    </row>
    <row r="116" spans="1:68" ht="1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52" t="s">
        <v>63</v>
      </c>
      <c r="P116" s="32">
        <v>10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BN116" t="s">
        <v>5</v>
      </c>
      <c r="BO116" s="11">
        <f>'Feeder Calculations'!P130</f>
        <v>17.64</v>
      </c>
      <c r="BP116" s="2">
        <f>BO116*1</f>
        <v>17.64</v>
      </c>
    </row>
    <row r="117" spans="1:68" ht="1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52" t="s">
        <v>24</v>
      </c>
      <c r="P117" s="57">
        <v>229</v>
      </c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BN117" s="5" t="s">
        <v>17</v>
      </c>
      <c r="BO117" s="10">
        <f>((SUM(BP90:BP115)/(BO114-BO89)))</f>
        <v>0.4287888687813406</v>
      </c>
      <c r="BP117" s="2"/>
    </row>
    <row r="118" spans="1:68" ht="1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52" t="s">
        <v>40</v>
      </c>
      <c r="P118" s="33">
        <v>0.28</v>
      </c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BN118" s="5" t="s">
        <v>41</v>
      </c>
      <c r="BO118" s="10">
        <f>((SUM(BP90:BP115)/((BO114-BO89)*(1-BO107))))</f>
        <v>0.4331200694761016</v>
      </c>
      <c r="BP118" s="2"/>
    </row>
    <row r="119" spans="1:68" ht="1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52" t="s">
        <v>77</v>
      </c>
      <c r="P119" s="33">
        <v>7</v>
      </c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BN119" s="5" t="s">
        <v>44</v>
      </c>
      <c r="BO119" s="21">
        <f>BO98/(BO114-BO89)</f>
        <v>4.490133568728749</v>
      </c>
      <c r="BP119" s="2"/>
    </row>
    <row r="120" spans="1:68" ht="1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52" t="s">
        <v>26</v>
      </c>
      <c r="P120" s="34">
        <v>0.05</v>
      </c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BN120" s="5" t="s">
        <v>45</v>
      </c>
      <c r="BO120" s="21">
        <f>BO99/(BO114-BO89)</f>
        <v>4.467682900885105</v>
      </c>
      <c r="BP120" s="2"/>
    </row>
    <row r="121" spans="1:32" ht="1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52" t="s">
        <v>78</v>
      </c>
      <c r="P121" s="33">
        <v>15</v>
      </c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66" ht="1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52" t="s">
        <v>38</v>
      </c>
      <c r="P122" s="34">
        <v>0.12</v>
      </c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BN122" t="s">
        <v>92</v>
      </c>
    </row>
    <row r="123" spans="1:66" ht="1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53" t="s">
        <v>91</v>
      </c>
      <c r="P123" s="33">
        <v>18</v>
      </c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BN123" t="s">
        <v>6</v>
      </c>
    </row>
    <row r="124" spans="1:32" ht="1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54" t="s">
        <v>27</v>
      </c>
      <c r="P124" s="34">
        <v>0.01</v>
      </c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ht="1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54" t="s">
        <v>51</v>
      </c>
      <c r="P125" s="36">
        <f>P124*0.25</f>
        <v>0.0025</v>
      </c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55" t="s">
        <v>29</v>
      </c>
      <c r="P126" s="57">
        <v>1247.43</v>
      </c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spans="1:32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54" t="s">
        <v>30</v>
      </c>
      <c r="P127" s="34">
        <v>0.03</v>
      </c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</row>
    <row r="128" spans="1:32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53" t="s">
        <v>36</v>
      </c>
      <c r="P128" s="33">
        <v>1</v>
      </c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spans="1:32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53" t="s">
        <v>87</v>
      </c>
      <c r="P129" s="33">
        <v>5</v>
      </c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</row>
    <row r="130" spans="1:32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52" t="s">
        <v>49</v>
      </c>
      <c r="P130" s="33">
        <v>17.64</v>
      </c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</row>
    <row r="131" spans="1:32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52" t="s">
        <v>50</v>
      </c>
      <c r="P131" s="38">
        <v>150</v>
      </c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</row>
    <row r="132" spans="1:32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1"/>
      <c r="P132" s="41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32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58" t="s">
        <v>31</v>
      </c>
      <c r="P133" s="5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spans="1:32" ht="1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51" t="s">
        <v>32</v>
      </c>
      <c r="P134" s="48">
        <f>'Feeder Calculations'!BO93</f>
        <v>36.57096747945206</v>
      </c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</row>
    <row r="135" spans="1:32" ht="1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52" t="s">
        <v>34</v>
      </c>
      <c r="P135" s="49">
        <f>'Feeder Calculations'!BO97</f>
        <v>2.2271052401746725</v>
      </c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</row>
    <row r="136" spans="1:32" ht="1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52" t="s">
        <v>33</v>
      </c>
      <c r="P136" s="49">
        <f>'Feeder Calculations'!BO96</f>
        <v>2.204834187772926</v>
      </c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ht="1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52" t="s">
        <v>66</v>
      </c>
      <c r="P137" s="49">
        <f>'Feeder Calculations'!BO99</f>
        <v>2278.55</v>
      </c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  <row r="138" spans="1:32" ht="1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52" t="s">
        <v>94</v>
      </c>
      <c r="P138" s="49">
        <f>'Feeder Calculations'!BO120</f>
        <v>4.467682900885105</v>
      </c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</row>
    <row r="139" spans="1:32" ht="1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52" t="s">
        <v>95</v>
      </c>
      <c r="P139" s="50">
        <f>'Feeder Calculations'!BO118</f>
        <v>0.4331200694761016</v>
      </c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</row>
    <row r="140" spans="1:32" ht="1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52" t="s">
        <v>96</v>
      </c>
      <c r="P140" s="56">
        <f>'Feeder Calculations'!BO111</f>
        <v>0.6063286631565896</v>
      </c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spans="1:32" ht="1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</row>
    <row r="142" spans="1:32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</row>
    <row r="143" spans="1:32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</row>
    <row r="144" spans="1:32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</row>
    <row r="145" spans="1:32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</row>
    <row r="146" spans="1:32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1:32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</row>
    <row r="149" spans="1:32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</row>
    <row r="150" spans="1:32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</row>
    <row r="151" spans="1:32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</row>
    <row r="152" spans="1:32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</row>
    <row r="153" spans="1:32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</row>
    <row r="154" spans="1:32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1:32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</row>
    <row r="157" spans="1:32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</row>
    <row r="158" spans="1:32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</row>
    <row r="159" spans="1:32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</row>
    <row r="160" spans="1:32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</row>
    <row r="161" spans="1:32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</row>
    <row r="162" spans="1:32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</row>
    <row r="163" spans="1:32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spans="1:32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</row>
    <row r="165" spans="1:32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</row>
    <row r="166" spans="1:32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</row>
    <row r="167" spans="1:32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</row>
    <row r="168" spans="1:32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</row>
    <row r="169" spans="1:32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</row>
    <row r="170" spans="1:32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</row>
    <row r="171" spans="1:32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</row>
    <row r="172" spans="1:32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</row>
    <row r="173" spans="1:32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</row>
    <row r="174" spans="1:32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</row>
    <row r="175" spans="1:32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</row>
    <row r="176" spans="1:32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</row>
    <row r="177" spans="1:32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</row>
    <row r="178" spans="1:32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</row>
    <row r="179" spans="1:32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</row>
    <row r="180" spans="1:32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</row>
    <row r="181" spans="1:32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</row>
    <row r="182" spans="1:32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</row>
    <row r="183" spans="1:32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X183" s="39"/>
      <c r="Y183" s="39"/>
      <c r="Z183" s="39"/>
      <c r="AA183" s="39"/>
      <c r="AB183" s="39"/>
      <c r="AC183" s="39"/>
      <c r="AD183" s="39"/>
      <c r="AE183" s="39"/>
      <c r="AF183" s="39"/>
    </row>
    <row r="184" spans="1:32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X184" s="39"/>
      <c r="Y184" s="39"/>
      <c r="Z184" s="39"/>
      <c r="AA184" s="39"/>
      <c r="AB184" s="39"/>
      <c r="AC184" s="39"/>
      <c r="AD184" s="39"/>
      <c r="AE184" s="39"/>
      <c r="AF184" s="39"/>
    </row>
    <row r="185" spans="1:14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14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1:14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1:14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1:14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1:14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1:14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14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4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14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4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14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14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1:14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14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1:14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1:14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14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1:14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1:14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14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1:14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1:14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14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1:14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14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1:14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1:14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1:14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1:14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1:14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1:14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1:14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1:14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1:14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1:14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1:14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1:14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1:14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1:14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1:14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1:14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1:14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1:14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1:14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1:14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</row>
    <row r="244" spans="1:14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</row>
    <row r="245" spans="1:14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</row>
    <row r="246" spans="1:14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</row>
    <row r="247" spans="1:14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</row>
    <row r="248" spans="1:14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</row>
    <row r="249" spans="1:14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</row>
    <row r="250" spans="1:14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</row>
    <row r="251" spans="1:14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</row>
    <row r="252" spans="1:14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</row>
    <row r="254" spans="1:14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</row>
    <row r="255" spans="1:14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</row>
    <row r="256" spans="1:14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</row>
    <row r="257" spans="1:14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</row>
    <row r="258" spans="1:14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</row>
    <row r="260" spans="1:14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</row>
    <row r="261" spans="1:14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4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4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4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4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4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4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4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4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4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</sheetData>
  <sheetProtection password="CC65" sheet="1" objects="1" scenarios="1"/>
  <mergeCells count="19">
    <mergeCell ref="A6:I8"/>
    <mergeCell ref="O1:R1"/>
    <mergeCell ref="O52:P52"/>
    <mergeCell ref="A3:I3"/>
    <mergeCell ref="O2:R2"/>
    <mergeCell ref="O3:Q3"/>
    <mergeCell ref="A1:I2"/>
    <mergeCell ref="A4:I4"/>
    <mergeCell ref="A5:I5"/>
    <mergeCell ref="O133:P133"/>
    <mergeCell ref="O28:P28"/>
    <mergeCell ref="O79:P79"/>
    <mergeCell ref="O105:P105"/>
    <mergeCell ref="O108:P108"/>
    <mergeCell ref="O106:P106"/>
    <mergeCell ref="O50:P50"/>
    <mergeCell ref="O53:P53"/>
    <mergeCell ref="O51:P51"/>
    <mergeCell ref="O54:P54"/>
  </mergeCells>
  <dataValidations count="4">
    <dataValidation allowBlank="1" showInputMessage="1" showErrorMessage="1" prompt="Re-pull rate = number of pulls of calves that have been treated previously and returned to their home pen / number of initial pulls" sqref="P17 P67 P122"/>
    <dataValidation allowBlank="1" showInputMessage="1" showErrorMessage="1" prompt="Interest rate of borrowed money or if no borrowed money is used, interest rate of alternate investment" sqref="P114 P59 P9"/>
    <dataValidation allowBlank="1" showInputMessage="1" showErrorMessage="1" prompt="Average daily intake over entire feeding period" sqref="P11"/>
    <dataValidation allowBlank="1" showInputMessage="1" showErrorMessage="1" prompt="Prorate the cost of different diets by the percentage of the feeding period each was fed" sqref="P10 P60 P115"/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L. Larson</dc:creator>
  <cp:keywords/>
  <dc:description/>
  <cp:lastModifiedBy>rlarson</cp:lastModifiedBy>
  <cp:lastPrinted>2001-02-26T19:54:10Z</cp:lastPrinted>
  <dcterms:created xsi:type="dcterms:W3CDTF">1999-02-22T23:08:55Z</dcterms:created>
  <dcterms:modified xsi:type="dcterms:W3CDTF">2006-07-25T14:03:38Z</dcterms:modified>
  <cp:category/>
  <cp:version/>
  <cp:contentType/>
  <cp:contentStatus/>
</cp:coreProperties>
</file>